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институт\аспирантура\ТЗ демоверсии\Технічне завдання\Дрібні коригування вересень 26\Доробка розділу Прихований каскадний ефект\"/>
    </mc:Choice>
  </mc:AlternateContent>
  <xr:revisionPtr revIDLastSave="0" documentId="13_ncr:1_{77251710-70BC-4979-849F-983AEAEC3EB2}" xr6:coauthVersionLast="47" xr6:coauthVersionMax="47" xr10:uidLastSave="{00000000-0000-0000-0000-000000000000}"/>
  <bookViews>
    <workbookView xWindow="-120" yWindow="-120" windowWidth="29040" windowHeight="15720" firstSheet="3" activeTab="10" xr2:uid="{00000000-000D-0000-FFFF-FFFF00000000}"/>
  </bookViews>
  <sheets>
    <sheet name="Реєстр моделей" sheetId="10" r:id="rId1"/>
    <sheet name="Модель 1-1" sheetId="1" r:id="rId2"/>
    <sheet name="Модель 2-1" sheetId="2" r:id="rId3"/>
    <sheet name="Модель 2-2" sheetId="3" r:id="rId4"/>
    <sheet name="Модель 3-1" sheetId="4" r:id="rId5"/>
    <sheet name="Модель 2-3" sheetId="5" r:id="rId6"/>
    <sheet name="Модель 0-0" sheetId="6" r:id="rId7"/>
    <sheet name="Модель 0-1" sheetId="7" r:id="rId8"/>
    <sheet name="Модель 1-0" sheetId="8" r:id="rId9"/>
    <sheet name="Модель 1-10" sheetId="9" r:id="rId10"/>
    <sheet name="джерела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6" l="1"/>
  <c r="F27" i="6"/>
  <c r="I25" i="6"/>
  <c r="I26" i="6"/>
  <c r="D41" i="9"/>
  <c r="E33" i="9"/>
  <c r="AE32" i="9"/>
  <c r="AD32" i="9"/>
  <c r="AD33" i="9" s="1"/>
  <c r="AC32" i="9"/>
  <c r="AC33" i="9" s="1"/>
  <c r="T32" i="9"/>
  <c r="I32" i="9"/>
  <c r="I33" i="9" s="1"/>
  <c r="H32" i="9"/>
  <c r="G32" i="9"/>
  <c r="E32" i="9"/>
  <c r="AE33" i="9" s="1"/>
  <c r="AE30" i="9"/>
  <c r="AA30" i="9"/>
  <c r="AB30" i="9" s="1"/>
  <c r="T30" i="9"/>
  <c r="I30" i="9"/>
  <c r="H30" i="9"/>
  <c r="G30" i="9"/>
  <c r="E30" i="9"/>
  <c r="AE29" i="9"/>
  <c r="AD29" i="9"/>
  <c r="AC29" i="9"/>
  <c r="T29" i="9"/>
  <c r="I29" i="9"/>
  <c r="I31" i="9" s="1"/>
  <c r="H29" i="9"/>
  <c r="G29" i="9"/>
  <c r="E29" i="9"/>
  <c r="AE27" i="9"/>
  <c r="AA27" i="9"/>
  <c r="AB27" i="9" s="1"/>
  <c r="T27" i="9"/>
  <c r="I27" i="9"/>
  <c r="H27" i="9"/>
  <c r="G27" i="9"/>
  <c r="E27" i="9"/>
  <c r="AE26" i="9"/>
  <c r="AD26" i="9"/>
  <c r="AC26" i="9"/>
  <c r="T26" i="9"/>
  <c r="I26" i="9"/>
  <c r="I28" i="9" s="1"/>
  <c r="H26" i="9"/>
  <c r="H28" i="9" s="1"/>
  <c r="E26" i="9"/>
  <c r="AE25" i="9"/>
  <c r="E25" i="9"/>
  <c r="AE24" i="9"/>
  <c r="AA24" i="9"/>
  <c r="AB24" i="9" s="1"/>
  <c r="T24" i="9"/>
  <c r="I24" i="9"/>
  <c r="H24" i="9"/>
  <c r="G24" i="9"/>
  <c r="E24" i="9"/>
  <c r="AE23" i="9"/>
  <c r="AB23" i="9"/>
  <c r="AA23" i="9"/>
  <c r="T23" i="9"/>
  <c r="I23" i="9"/>
  <c r="H23" i="9"/>
  <c r="E23" i="9"/>
  <c r="AE22" i="9"/>
  <c r="AD22" i="9"/>
  <c r="AC22" i="9"/>
  <c r="T22" i="9"/>
  <c r="I22" i="9"/>
  <c r="I25" i="9" s="1"/>
  <c r="H22" i="9"/>
  <c r="G22" i="9"/>
  <c r="E22" i="9"/>
  <c r="I21" i="9"/>
  <c r="AE20" i="9"/>
  <c r="AD20" i="9"/>
  <c r="AC20" i="9"/>
  <c r="T20" i="9"/>
  <c r="I20" i="9"/>
  <c r="H20" i="9"/>
  <c r="E20" i="9"/>
  <c r="AE19" i="9"/>
  <c r="AA19" i="9"/>
  <c r="AB19" i="9" s="1"/>
  <c r="T19" i="9"/>
  <c r="I19" i="9"/>
  <c r="H19" i="9"/>
  <c r="G19" i="9"/>
  <c r="E19" i="9"/>
  <c r="AE18" i="9"/>
  <c r="AB18" i="9"/>
  <c r="AA18" i="9"/>
  <c r="T18" i="9"/>
  <c r="I18" i="9"/>
  <c r="H18" i="9"/>
  <c r="E18" i="9"/>
  <c r="E21" i="9" s="1"/>
  <c r="AE17" i="9"/>
  <c r="AD17" i="9"/>
  <c r="AC17" i="9"/>
  <c r="T17" i="9"/>
  <c r="I17" i="9"/>
  <c r="H17" i="9"/>
  <c r="G17" i="9"/>
  <c r="E17" i="9"/>
  <c r="AE15" i="9"/>
  <c r="AB15" i="9"/>
  <c r="AA15" i="9"/>
  <c r="AB16" i="9" s="1"/>
  <c r="T15" i="9"/>
  <c r="J15" i="9"/>
  <c r="I15" i="9"/>
  <c r="H15" i="9"/>
  <c r="G15" i="9"/>
  <c r="F15" i="9"/>
  <c r="E15" i="9"/>
  <c r="AE14" i="9"/>
  <c r="AA14" i="9"/>
  <c r="AA16" i="9" s="1"/>
  <c r="T14" i="9"/>
  <c r="J14" i="9"/>
  <c r="I14" i="9"/>
  <c r="G14" i="9"/>
  <c r="E14" i="9"/>
  <c r="F14" i="9" s="1"/>
  <c r="AE13" i="9"/>
  <c r="AB13" i="9"/>
  <c r="AA13" i="9"/>
  <c r="T13" i="9"/>
  <c r="J13" i="9"/>
  <c r="I13" i="9"/>
  <c r="G13" i="9"/>
  <c r="E13" i="9"/>
  <c r="AE16" i="9" s="1"/>
  <c r="I8" i="9"/>
  <c r="D39" i="9" s="1"/>
  <c r="C8" i="9"/>
  <c r="G20" i="9" s="1"/>
  <c r="C7" i="9"/>
  <c r="D38" i="9" s="1"/>
  <c r="I5" i="9"/>
  <c r="C5" i="9"/>
  <c r="G23" i="9" s="1"/>
  <c r="I4" i="9"/>
  <c r="AD33" i="8"/>
  <c r="AC33" i="8"/>
  <c r="I33" i="8"/>
  <c r="AE32" i="8"/>
  <c r="AD32" i="8"/>
  <c r="AC32" i="8"/>
  <c r="T32" i="8"/>
  <c r="O32" i="8"/>
  <c r="I32" i="8"/>
  <c r="H32" i="8"/>
  <c r="H33" i="8" s="1"/>
  <c r="E32" i="8"/>
  <c r="O31" i="8"/>
  <c r="I31" i="8"/>
  <c r="AE30" i="8"/>
  <c r="AB30" i="8"/>
  <c r="AA30" i="8"/>
  <c r="T30" i="8"/>
  <c r="S30" i="8"/>
  <c r="O30" i="8"/>
  <c r="I30" i="8"/>
  <c r="H30" i="8"/>
  <c r="E30" i="8"/>
  <c r="AE29" i="8"/>
  <c r="AD29" i="8"/>
  <c r="AC29" i="8"/>
  <c r="S29" i="8"/>
  <c r="S31" i="8" s="1"/>
  <c r="O29" i="8"/>
  <c r="I29" i="8"/>
  <c r="H29" i="8"/>
  <c r="G29" i="8"/>
  <c r="E29" i="8"/>
  <c r="E31" i="8" s="1"/>
  <c r="AE27" i="8"/>
  <c r="AA27" i="8"/>
  <c r="AB27" i="8" s="1"/>
  <c r="U27" i="8"/>
  <c r="T27" i="8"/>
  <c r="S27" i="8"/>
  <c r="O27" i="8"/>
  <c r="I27" i="8"/>
  <c r="H27" i="8"/>
  <c r="G27" i="8"/>
  <c r="E27" i="8"/>
  <c r="E28" i="8" s="1"/>
  <c r="AE26" i="8"/>
  <c r="AD26" i="8"/>
  <c r="AC26" i="8"/>
  <c r="T26" i="8"/>
  <c r="O26" i="8"/>
  <c r="I26" i="8"/>
  <c r="H26" i="8"/>
  <c r="E26" i="8"/>
  <c r="E25" i="8"/>
  <c r="AE24" i="8"/>
  <c r="AA24" i="8"/>
  <c r="AB24" i="8" s="1"/>
  <c r="T24" i="8"/>
  <c r="U24" i="8" s="1"/>
  <c r="V24" i="8" s="1"/>
  <c r="Y24" i="8" s="1"/>
  <c r="O24" i="8"/>
  <c r="S24" i="8" s="1"/>
  <c r="I24" i="8"/>
  <c r="H24" i="8"/>
  <c r="E24" i="8"/>
  <c r="AE23" i="8"/>
  <c r="AB23" i="8"/>
  <c r="AA23" i="8"/>
  <c r="O23" i="8"/>
  <c r="I23" i="8"/>
  <c r="H23" i="8"/>
  <c r="E23" i="8"/>
  <c r="AE22" i="8"/>
  <c r="AD22" i="8"/>
  <c r="AC22" i="8"/>
  <c r="U22" i="8"/>
  <c r="T22" i="8"/>
  <c r="S22" i="8"/>
  <c r="O22" i="8"/>
  <c r="I22" i="8"/>
  <c r="H22" i="8"/>
  <c r="G22" i="8"/>
  <c r="E22" i="8"/>
  <c r="AE25" i="8" s="1"/>
  <c r="AE20" i="8"/>
  <c r="AD20" i="8"/>
  <c r="AC20" i="8"/>
  <c r="S20" i="8"/>
  <c r="O20" i="8"/>
  <c r="I20" i="8"/>
  <c r="H20" i="8"/>
  <c r="G20" i="8"/>
  <c r="E20" i="8"/>
  <c r="AE19" i="8"/>
  <c r="AA19" i="8"/>
  <c r="AB19" i="8" s="1"/>
  <c r="S19" i="8"/>
  <c r="O19" i="8"/>
  <c r="I19" i="8"/>
  <c r="H19" i="8"/>
  <c r="G19" i="8"/>
  <c r="E19" i="8"/>
  <c r="AE18" i="8"/>
  <c r="AA18" i="8"/>
  <c r="AB18" i="8" s="1"/>
  <c r="T18" i="8"/>
  <c r="S18" i="8"/>
  <c r="O18" i="8"/>
  <c r="I18" i="8"/>
  <c r="H18" i="8"/>
  <c r="E18" i="8"/>
  <c r="AE17" i="8"/>
  <c r="AD17" i="8"/>
  <c r="AC17" i="8"/>
  <c r="T17" i="8"/>
  <c r="O17" i="8"/>
  <c r="I17" i="8"/>
  <c r="H17" i="8"/>
  <c r="G17" i="8"/>
  <c r="E17" i="8"/>
  <c r="AE15" i="8"/>
  <c r="AB15" i="8"/>
  <c r="AA15" i="8"/>
  <c r="S15" i="8"/>
  <c r="O15" i="8"/>
  <c r="J15" i="8"/>
  <c r="H15" i="8"/>
  <c r="E15" i="8"/>
  <c r="AE14" i="8"/>
  <c r="AA14" i="8"/>
  <c r="S14" i="8"/>
  <c r="O14" i="8"/>
  <c r="J14" i="8"/>
  <c r="I14" i="8"/>
  <c r="E14" i="8"/>
  <c r="E16" i="8" s="1"/>
  <c r="AE13" i="8"/>
  <c r="AB13" i="8"/>
  <c r="AA13" i="8"/>
  <c r="T13" i="8"/>
  <c r="S13" i="8"/>
  <c r="U13" i="8" s="1"/>
  <c r="O13" i="8"/>
  <c r="J13" i="8"/>
  <c r="I13" i="8"/>
  <c r="E13" i="8"/>
  <c r="AE16" i="8" s="1"/>
  <c r="I8" i="8"/>
  <c r="D39" i="8" s="1"/>
  <c r="C8" i="8"/>
  <c r="C7" i="8"/>
  <c r="C6" i="8"/>
  <c r="T14" i="8" s="1"/>
  <c r="I5" i="8"/>
  <c r="C5" i="8"/>
  <c r="G13" i="8" s="1"/>
  <c r="I4" i="8"/>
  <c r="D41" i="7"/>
  <c r="AC33" i="7"/>
  <c r="E33" i="7"/>
  <c r="AE32" i="7"/>
  <c r="AD32" i="7"/>
  <c r="AD33" i="7" s="1"/>
  <c r="AC32" i="7"/>
  <c r="T32" i="7"/>
  <c r="L32" i="7"/>
  <c r="I32" i="7"/>
  <c r="I33" i="7" s="1"/>
  <c r="H32" i="7"/>
  <c r="G32" i="7"/>
  <c r="E32" i="7"/>
  <c r="AE33" i="7" s="1"/>
  <c r="AE30" i="7"/>
  <c r="AB30" i="7"/>
  <c r="AA30" i="7"/>
  <c r="L30" i="7"/>
  <c r="I30" i="7"/>
  <c r="H30" i="7"/>
  <c r="H31" i="7" s="1"/>
  <c r="G30" i="7"/>
  <c r="E30" i="7"/>
  <c r="AE29" i="7"/>
  <c r="AD29" i="7"/>
  <c r="AC29" i="7"/>
  <c r="L29" i="7"/>
  <c r="I29" i="7"/>
  <c r="H29" i="7"/>
  <c r="G29" i="7"/>
  <c r="E29" i="7"/>
  <c r="AE28" i="7"/>
  <c r="I28" i="7"/>
  <c r="E28" i="7"/>
  <c r="AE27" i="7"/>
  <c r="AA27" i="7"/>
  <c r="AB27" i="7" s="1"/>
  <c r="T27" i="7"/>
  <c r="L27" i="7"/>
  <c r="I27" i="7"/>
  <c r="H27" i="7"/>
  <c r="E27" i="7"/>
  <c r="AE26" i="7"/>
  <c r="AD26" i="7"/>
  <c r="AC26" i="7"/>
  <c r="T26" i="7"/>
  <c r="L26" i="7"/>
  <c r="I26" i="7"/>
  <c r="H26" i="7"/>
  <c r="G26" i="7"/>
  <c r="E26" i="7"/>
  <c r="AE25" i="7"/>
  <c r="AE24" i="7"/>
  <c r="AB24" i="7"/>
  <c r="AA24" i="7"/>
  <c r="L24" i="7"/>
  <c r="I24" i="7"/>
  <c r="H24" i="7"/>
  <c r="G24" i="7"/>
  <c r="E24" i="7"/>
  <c r="AE23" i="7"/>
  <c r="AA23" i="7"/>
  <c r="AB23" i="7" s="1"/>
  <c r="T23" i="7"/>
  <c r="L23" i="7"/>
  <c r="I23" i="7"/>
  <c r="H23" i="7"/>
  <c r="G23" i="7"/>
  <c r="E23" i="7"/>
  <c r="E25" i="7" s="1"/>
  <c r="AE22" i="7"/>
  <c r="AD22" i="7"/>
  <c r="AC22" i="7"/>
  <c r="T22" i="7"/>
  <c r="L22" i="7"/>
  <c r="I22" i="7"/>
  <c r="H22" i="7"/>
  <c r="G22" i="7"/>
  <c r="E22" i="7"/>
  <c r="AE20" i="7"/>
  <c r="AD20" i="7"/>
  <c r="AC20" i="7"/>
  <c r="L20" i="7"/>
  <c r="I20" i="7"/>
  <c r="H20" i="7"/>
  <c r="E20" i="7"/>
  <c r="AE19" i="7"/>
  <c r="AB19" i="7"/>
  <c r="AA19" i="7"/>
  <c r="T19" i="7"/>
  <c r="L19" i="7"/>
  <c r="I19" i="7"/>
  <c r="H19" i="7"/>
  <c r="G19" i="7"/>
  <c r="E19" i="7"/>
  <c r="AE18" i="7"/>
  <c r="AA18" i="7"/>
  <c r="AB18" i="7" s="1"/>
  <c r="L18" i="7"/>
  <c r="I18" i="7"/>
  <c r="H18" i="7"/>
  <c r="E18" i="7"/>
  <c r="E21" i="7" s="1"/>
  <c r="AE17" i="7"/>
  <c r="AD17" i="7"/>
  <c r="AC17" i="7"/>
  <c r="L17" i="7"/>
  <c r="I17" i="7"/>
  <c r="H17" i="7"/>
  <c r="H21" i="7" s="1"/>
  <c r="G17" i="7"/>
  <c r="E17" i="7"/>
  <c r="AE21" i="7" s="1"/>
  <c r="AE15" i="7"/>
  <c r="AB15" i="7"/>
  <c r="AA15" i="7"/>
  <c r="T15" i="7"/>
  <c r="L15" i="7"/>
  <c r="J15" i="7"/>
  <c r="H15" i="7"/>
  <c r="E15" i="7"/>
  <c r="AE14" i="7"/>
  <c r="AB14" i="7"/>
  <c r="AA14" i="7"/>
  <c r="T14" i="7"/>
  <c r="L14" i="7"/>
  <c r="J14" i="7"/>
  <c r="I14" i="7"/>
  <c r="G14" i="7"/>
  <c r="F14" i="7"/>
  <c r="E14" i="7"/>
  <c r="AE13" i="7"/>
  <c r="AA13" i="7"/>
  <c r="T13" i="7"/>
  <c r="L13" i="7"/>
  <c r="J13" i="7"/>
  <c r="I13" i="7"/>
  <c r="G13" i="7"/>
  <c r="E13" i="7"/>
  <c r="I8" i="7"/>
  <c r="D39" i="7" s="1"/>
  <c r="C8" i="7"/>
  <c r="G20" i="7" s="1"/>
  <c r="C7" i="7"/>
  <c r="C6" i="7"/>
  <c r="T17" i="7" s="1"/>
  <c r="I5" i="7"/>
  <c r="C5" i="7"/>
  <c r="D40" i="7" s="1"/>
  <c r="I4" i="7"/>
  <c r="D42" i="6"/>
  <c r="D41" i="6"/>
  <c r="D40" i="6"/>
  <c r="D39" i="6"/>
  <c r="AE33" i="6"/>
  <c r="AC33" i="6"/>
  <c r="E33" i="6"/>
  <c r="AE32" i="6"/>
  <c r="AD32" i="6"/>
  <c r="AD33" i="6" s="1"/>
  <c r="AC32" i="6"/>
  <c r="T32" i="6"/>
  <c r="N32" i="6"/>
  <c r="L32" i="6"/>
  <c r="I32" i="6"/>
  <c r="I33" i="6" s="1"/>
  <c r="H32" i="6"/>
  <c r="H33" i="6" s="1"/>
  <c r="G32" i="6"/>
  <c r="AE31" i="6"/>
  <c r="I31" i="6"/>
  <c r="E31" i="6"/>
  <c r="AE30" i="6"/>
  <c r="AB30" i="6"/>
  <c r="AA30" i="6"/>
  <c r="T30" i="6"/>
  <c r="N30" i="6"/>
  <c r="L30" i="6"/>
  <c r="I30" i="6"/>
  <c r="H30" i="6"/>
  <c r="G30" i="6"/>
  <c r="AE29" i="6"/>
  <c r="AD29" i="6"/>
  <c r="AC29" i="6"/>
  <c r="T29" i="6"/>
  <c r="N29" i="6"/>
  <c r="L29" i="6"/>
  <c r="I29" i="6"/>
  <c r="H29" i="6"/>
  <c r="H31" i="6" s="1"/>
  <c r="G29" i="6"/>
  <c r="AE28" i="6"/>
  <c r="E28" i="6"/>
  <c r="AE27" i="6"/>
  <c r="AA27" i="6"/>
  <c r="AB27" i="6" s="1"/>
  <c r="T27" i="6"/>
  <c r="N27" i="6"/>
  <c r="L27" i="6"/>
  <c r="I27" i="6"/>
  <c r="H27" i="6"/>
  <c r="AE26" i="6"/>
  <c r="AD26" i="6"/>
  <c r="AC26" i="6"/>
  <c r="T26" i="6"/>
  <c r="N26" i="6"/>
  <c r="L26" i="6"/>
  <c r="H26" i="6"/>
  <c r="G26" i="6"/>
  <c r="AE25" i="6"/>
  <c r="E25" i="6"/>
  <c r="AE24" i="6"/>
  <c r="AA24" i="6"/>
  <c r="AB24" i="6" s="1"/>
  <c r="T24" i="6"/>
  <c r="N24" i="6"/>
  <c r="L24" i="6"/>
  <c r="I24" i="6"/>
  <c r="H24" i="6"/>
  <c r="G24" i="6"/>
  <c r="AE23" i="6"/>
  <c r="AB23" i="6"/>
  <c r="AA23" i="6"/>
  <c r="T23" i="6"/>
  <c r="N23" i="6"/>
  <c r="L23" i="6"/>
  <c r="I23" i="6"/>
  <c r="H23" i="6"/>
  <c r="G23" i="6"/>
  <c r="AE22" i="6"/>
  <c r="AD22" i="6"/>
  <c r="AC22" i="6"/>
  <c r="T22" i="6"/>
  <c r="N22" i="6"/>
  <c r="L22" i="6"/>
  <c r="I22" i="6"/>
  <c r="H22" i="6"/>
  <c r="G22" i="6"/>
  <c r="AE21" i="6"/>
  <c r="E21" i="6"/>
  <c r="AE20" i="6"/>
  <c r="AD20" i="6"/>
  <c r="AC20" i="6"/>
  <c r="T20" i="6"/>
  <c r="N20" i="6"/>
  <c r="L20" i="6"/>
  <c r="I20" i="6"/>
  <c r="H20" i="6"/>
  <c r="G20" i="6"/>
  <c r="AE19" i="6"/>
  <c r="AA19" i="6"/>
  <c r="AB19" i="6" s="1"/>
  <c r="T19" i="6"/>
  <c r="N19" i="6"/>
  <c r="L19" i="6"/>
  <c r="I19" i="6"/>
  <c r="H19" i="6"/>
  <c r="G19" i="6"/>
  <c r="AE18" i="6"/>
  <c r="AB18" i="6"/>
  <c r="AA18" i="6"/>
  <c r="T18" i="6"/>
  <c r="N18" i="6"/>
  <c r="L18" i="6"/>
  <c r="I18" i="6"/>
  <c r="H18" i="6"/>
  <c r="G18" i="6"/>
  <c r="AE17" i="6"/>
  <c r="AD17" i="6"/>
  <c r="AC17" i="6"/>
  <c r="T17" i="6"/>
  <c r="N17" i="6"/>
  <c r="L17" i="6"/>
  <c r="I17" i="6"/>
  <c r="H17" i="6"/>
  <c r="G17" i="6"/>
  <c r="AE16" i="6"/>
  <c r="AA16" i="6"/>
  <c r="E16" i="6"/>
  <c r="AE15" i="6"/>
  <c r="AB15" i="6"/>
  <c r="AA15" i="6"/>
  <c r="T15" i="6"/>
  <c r="N15" i="6"/>
  <c r="L15" i="6"/>
  <c r="J15" i="6"/>
  <c r="H15" i="6"/>
  <c r="G15" i="6"/>
  <c r="F15" i="6"/>
  <c r="AE14" i="6"/>
  <c r="AB14" i="6"/>
  <c r="AA14" i="6"/>
  <c r="T14" i="6"/>
  <c r="N14" i="6"/>
  <c r="L14" i="6"/>
  <c r="M14" i="6" s="1"/>
  <c r="J14" i="6"/>
  <c r="J16" i="6" s="1"/>
  <c r="I14" i="6"/>
  <c r="K14" i="6" s="1"/>
  <c r="H14" i="6"/>
  <c r="G14" i="6"/>
  <c r="F14" i="6"/>
  <c r="AE13" i="6"/>
  <c r="AA13" i="6"/>
  <c r="AB16" i="6" s="1"/>
  <c r="T13" i="6"/>
  <c r="N13" i="6"/>
  <c r="L13" i="6"/>
  <c r="J13" i="6"/>
  <c r="I13" i="6"/>
  <c r="G13" i="6"/>
  <c r="F13" i="6"/>
  <c r="I7" i="6"/>
  <c r="AE41" i="5"/>
  <c r="I39" i="5"/>
  <c r="H39" i="5"/>
  <c r="B39" i="5"/>
  <c r="AB39" i="5" s="1"/>
  <c r="AE38" i="5"/>
  <c r="AC38" i="5"/>
  <c r="AA38" i="5"/>
  <c r="Z38" i="5"/>
  <c r="Y38" i="5"/>
  <c r="X38" i="5"/>
  <c r="W38" i="5"/>
  <c r="V38" i="5"/>
  <c r="U38" i="5"/>
  <c r="T38" i="5"/>
  <c r="S38" i="5"/>
  <c r="R38" i="5"/>
  <c r="Q38" i="5"/>
  <c r="P38" i="5"/>
  <c r="O38" i="5"/>
  <c r="N38" i="5"/>
  <c r="M38" i="5"/>
  <c r="L38" i="5"/>
  <c r="K38" i="5"/>
  <c r="J38" i="5"/>
  <c r="Y37" i="5"/>
  <c r="X37" i="5"/>
  <c r="T37" i="5"/>
  <c r="S37" i="5"/>
  <c r="R37" i="5"/>
  <c r="Q37" i="5"/>
  <c r="J37" i="5"/>
  <c r="Y36" i="5"/>
  <c r="Y39" i="5" s="1"/>
  <c r="X36" i="5"/>
  <c r="T36" i="5"/>
  <c r="S36" i="5"/>
  <c r="R36" i="5"/>
  <c r="Q36" i="5"/>
  <c r="Q39" i="5" s="1"/>
  <c r="M36" i="5"/>
  <c r="J36" i="5"/>
  <c r="Y35" i="5"/>
  <c r="T35" i="5"/>
  <c r="S35" i="5"/>
  <c r="Q35" i="5"/>
  <c r="P35" i="5"/>
  <c r="J35" i="5"/>
  <c r="Y34" i="5"/>
  <c r="T34" i="5"/>
  <c r="T39" i="5" s="1"/>
  <c r="S34" i="5"/>
  <c r="S39" i="5" s="1"/>
  <c r="Q34" i="5"/>
  <c r="P34" i="5"/>
  <c r="J34" i="5"/>
  <c r="I32" i="5"/>
  <c r="H32" i="5"/>
  <c r="B32" i="5"/>
  <c r="AB32" i="5" s="1"/>
  <c r="AE31" i="5"/>
  <c r="AC31" i="5"/>
  <c r="AA31" i="5"/>
  <c r="Z31" i="5"/>
  <c r="Y31" i="5"/>
  <c r="X31" i="5"/>
  <c r="W31" i="5"/>
  <c r="V31" i="5"/>
  <c r="U31" i="5"/>
  <c r="T31" i="5"/>
  <c r="S31" i="5"/>
  <c r="R31" i="5"/>
  <c r="Q31" i="5"/>
  <c r="P31" i="5"/>
  <c r="O31" i="5"/>
  <c r="N31" i="5"/>
  <c r="M31" i="5"/>
  <c r="L31" i="5"/>
  <c r="K31" i="5"/>
  <c r="J31" i="5"/>
  <c r="Z30" i="5"/>
  <c r="X30" i="5"/>
  <c r="T30" i="5"/>
  <c r="S30" i="5"/>
  <c r="R30" i="5"/>
  <c r="Q30" i="5"/>
  <c r="J30" i="5"/>
  <c r="X29" i="5"/>
  <c r="Z29" i="5" s="1"/>
  <c r="T29" i="5"/>
  <c r="S29" i="5"/>
  <c r="R29" i="5"/>
  <c r="Q29" i="5"/>
  <c r="J29" i="5"/>
  <c r="Z28" i="5"/>
  <c r="X28" i="5"/>
  <c r="T28" i="5"/>
  <c r="S28" i="5"/>
  <c r="R28" i="5"/>
  <c r="P28" i="5"/>
  <c r="M28" i="5"/>
  <c r="J28" i="5"/>
  <c r="Y27" i="5"/>
  <c r="T27" i="5"/>
  <c r="S27" i="5"/>
  <c r="R27" i="5"/>
  <c r="P27" i="5"/>
  <c r="J27" i="5"/>
  <c r="Y26" i="5"/>
  <c r="S26" i="5"/>
  <c r="R26" i="5"/>
  <c r="Q26" i="5"/>
  <c r="P26" i="5"/>
  <c r="J26" i="5"/>
  <c r="Y25" i="5"/>
  <c r="T25" i="5"/>
  <c r="R25" i="5"/>
  <c r="Q25" i="5"/>
  <c r="P25" i="5"/>
  <c r="J25" i="5"/>
  <c r="I23" i="5"/>
  <c r="H23" i="5"/>
  <c r="B23" i="5"/>
  <c r="AB23" i="5" s="1"/>
  <c r="AE22" i="5"/>
  <c r="AC22" i="5"/>
  <c r="AA22" i="5"/>
  <c r="Z22" i="5"/>
  <c r="Y22" i="5"/>
  <c r="X22" i="5"/>
  <c r="W22" i="5"/>
  <c r="V22" i="5"/>
  <c r="U22" i="5"/>
  <c r="T22" i="5"/>
  <c r="S22" i="5"/>
  <c r="R22" i="5"/>
  <c r="Q22" i="5"/>
  <c r="P22" i="5"/>
  <c r="O22" i="5"/>
  <c r="N22" i="5"/>
  <c r="M22" i="5"/>
  <c r="L22" i="5"/>
  <c r="K22" i="5"/>
  <c r="J22" i="5"/>
  <c r="X21" i="5"/>
  <c r="T21" i="5"/>
  <c r="S21" i="5"/>
  <c r="R21" i="5"/>
  <c r="Q21" i="5"/>
  <c r="J21" i="5"/>
  <c r="X20" i="5"/>
  <c r="T20" i="5"/>
  <c r="S20" i="5"/>
  <c r="R20" i="5"/>
  <c r="Q20" i="5"/>
  <c r="J20" i="5"/>
  <c r="X19" i="5"/>
  <c r="Z19" i="5" s="1"/>
  <c r="T19" i="5"/>
  <c r="S19" i="5"/>
  <c r="R19" i="5"/>
  <c r="P19" i="5"/>
  <c r="M19" i="5"/>
  <c r="J19" i="5"/>
  <c r="Y18" i="5"/>
  <c r="T18" i="5"/>
  <c r="S18" i="5"/>
  <c r="R18" i="5"/>
  <c r="P18" i="5"/>
  <c r="M18" i="5"/>
  <c r="J18" i="5"/>
  <c r="Y17" i="5"/>
  <c r="S17" i="5"/>
  <c r="R17" i="5"/>
  <c r="Q17" i="5"/>
  <c r="P17" i="5"/>
  <c r="M17" i="5"/>
  <c r="J17" i="5"/>
  <c r="Y16" i="5"/>
  <c r="T16" i="5"/>
  <c r="R16" i="5"/>
  <c r="Q16" i="5"/>
  <c r="P16" i="5"/>
  <c r="M16" i="5"/>
  <c r="J16" i="5"/>
  <c r="S14" i="5"/>
  <c r="Z13" i="5"/>
  <c r="X13" i="5"/>
  <c r="T13" i="5"/>
  <c r="S13" i="5"/>
  <c r="R13" i="5"/>
  <c r="P13" i="5"/>
  <c r="L13" i="5"/>
  <c r="J13" i="5"/>
  <c r="K13" i="5" s="1"/>
  <c r="G13" i="5"/>
  <c r="B13" i="5"/>
  <c r="X12" i="5"/>
  <c r="Z12" i="5" s="1"/>
  <c r="T12" i="5"/>
  <c r="S12" i="5"/>
  <c r="R12" i="5"/>
  <c r="R14" i="5" s="1"/>
  <c r="Q12" i="5"/>
  <c r="J12" i="5"/>
  <c r="I12" i="5"/>
  <c r="I41" i="5" s="1"/>
  <c r="G12" i="5"/>
  <c r="B12" i="5"/>
  <c r="Z11" i="5"/>
  <c r="X11" i="5"/>
  <c r="X14" i="5" s="1"/>
  <c r="T11" i="5"/>
  <c r="S11" i="5"/>
  <c r="R11" i="5"/>
  <c r="Q11" i="5"/>
  <c r="K11" i="5"/>
  <c r="J11" i="5"/>
  <c r="G11" i="5"/>
  <c r="H11" i="5" s="1"/>
  <c r="S8" i="5"/>
  <c r="S7" i="5"/>
  <c r="M12" i="5" s="1"/>
  <c r="S6" i="5"/>
  <c r="I6" i="5"/>
  <c r="S5" i="5"/>
  <c r="S4" i="5"/>
  <c r="M27" i="5" s="1"/>
  <c r="AI41" i="4"/>
  <c r="AD38" i="4"/>
  <c r="AC38" i="4"/>
  <c r="AB38" i="4"/>
  <c r="J38" i="4"/>
  <c r="I38" i="4"/>
  <c r="B38" i="4"/>
  <c r="AC36" i="4"/>
  <c r="AB36" i="4"/>
  <c r="AA36" i="4"/>
  <c r="U36" i="4"/>
  <c r="O36" i="4"/>
  <c r="AC35" i="4"/>
  <c r="AB35" i="4"/>
  <c r="AA35" i="4"/>
  <c r="U35" i="4"/>
  <c r="O35" i="4"/>
  <c r="H35" i="4"/>
  <c r="AC34" i="4"/>
  <c r="AB34" i="4"/>
  <c r="U34" i="4"/>
  <c r="O34" i="4"/>
  <c r="AC33" i="4"/>
  <c r="AB33" i="4"/>
  <c r="U33" i="4"/>
  <c r="O33" i="4"/>
  <c r="H33" i="4"/>
  <c r="AD31" i="4"/>
  <c r="J31" i="4"/>
  <c r="I31" i="4"/>
  <c r="B31" i="4"/>
  <c r="AC29" i="4"/>
  <c r="AA29" i="4"/>
  <c r="U29" i="4"/>
  <c r="O29" i="4"/>
  <c r="AA28" i="4"/>
  <c r="U28" i="4"/>
  <c r="O28" i="4"/>
  <c r="H28" i="4"/>
  <c r="AE27" i="4"/>
  <c r="AA27" i="4"/>
  <c r="U27" i="4"/>
  <c r="O27" i="4"/>
  <c r="H27" i="4"/>
  <c r="AC26" i="4"/>
  <c r="AB26" i="4"/>
  <c r="U26" i="4"/>
  <c r="O26" i="4"/>
  <c r="H26" i="4"/>
  <c r="AC25" i="4"/>
  <c r="AB25" i="4"/>
  <c r="U25" i="4"/>
  <c r="O25" i="4"/>
  <c r="J23" i="4"/>
  <c r="I23" i="4"/>
  <c r="B23" i="4"/>
  <c r="AD23" i="4" s="1"/>
  <c r="AE21" i="4"/>
  <c r="AC21" i="4"/>
  <c r="AA21" i="4"/>
  <c r="U21" i="4"/>
  <c r="O21" i="4"/>
  <c r="AA20" i="4"/>
  <c r="U20" i="4"/>
  <c r="O20" i="4"/>
  <c r="H20" i="4"/>
  <c r="AA19" i="4"/>
  <c r="U19" i="4"/>
  <c r="O19" i="4"/>
  <c r="H19" i="4"/>
  <c r="AC18" i="4"/>
  <c r="AB18" i="4"/>
  <c r="U18" i="4"/>
  <c r="O18" i="4"/>
  <c r="H18" i="4"/>
  <c r="AC17" i="4"/>
  <c r="AB17" i="4"/>
  <c r="U17" i="4"/>
  <c r="O17" i="4"/>
  <c r="N15" i="4"/>
  <c r="K15" i="4"/>
  <c r="AA14" i="4"/>
  <c r="U14" i="4"/>
  <c r="O14" i="4"/>
  <c r="P14" i="4" s="1"/>
  <c r="N14" i="4"/>
  <c r="L14" i="4"/>
  <c r="K14" i="4"/>
  <c r="J14" i="4"/>
  <c r="J15" i="4" s="1"/>
  <c r="H14" i="4"/>
  <c r="G14" i="4"/>
  <c r="AA13" i="4"/>
  <c r="AE13" i="4" s="1"/>
  <c r="U13" i="4"/>
  <c r="O13" i="4"/>
  <c r="P13" i="4" s="1"/>
  <c r="N13" i="4"/>
  <c r="L13" i="4"/>
  <c r="K13" i="4"/>
  <c r="I13" i="4"/>
  <c r="H13" i="4"/>
  <c r="G13" i="4"/>
  <c r="B13" i="4"/>
  <c r="AC12" i="4"/>
  <c r="AA12" i="4"/>
  <c r="U12" i="4"/>
  <c r="O12" i="4"/>
  <c r="N12" i="4"/>
  <c r="K12" i="4"/>
  <c r="I12" i="4"/>
  <c r="G12" i="4"/>
  <c r="G15" i="4" s="1"/>
  <c r="B12" i="4"/>
  <c r="D8" i="4"/>
  <c r="AA39" i="3"/>
  <c r="T39" i="3"/>
  <c r="Q39" i="3"/>
  <c r="P39" i="3"/>
  <c r="B39" i="3"/>
  <c r="Y38" i="3"/>
  <c r="Y39" i="3" s="1"/>
  <c r="T38" i="3"/>
  <c r="S38" i="3"/>
  <c r="S39" i="3" s="1"/>
  <c r="Q38" i="3"/>
  <c r="P38" i="3"/>
  <c r="M38" i="3"/>
  <c r="J38" i="3"/>
  <c r="I38" i="3"/>
  <c r="I39" i="3" s="1"/>
  <c r="H38" i="3"/>
  <c r="H39" i="3" s="1"/>
  <c r="AA36" i="3"/>
  <c r="S36" i="3"/>
  <c r="Q36" i="3"/>
  <c r="I36" i="3"/>
  <c r="B36" i="3"/>
  <c r="X35" i="3"/>
  <c r="T35" i="3"/>
  <c r="S35" i="3"/>
  <c r="R35" i="3"/>
  <c r="Q35" i="3"/>
  <c r="J35" i="3"/>
  <c r="I35" i="3"/>
  <c r="H35" i="3"/>
  <c r="Y34" i="3"/>
  <c r="T34" i="3"/>
  <c r="T36" i="3" s="1"/>
  <c r="S34" i="3"/>
  <c r="Q34" i="3"/>
  <c r="P34" i="3"/>
  <c r="M34" i="3"/>
  <c r="J34" i="3"/>
  <c r="I34" i="3"/>
  <c r="H34" i="3"/>
  <c r="AA32" i="3"/>
  <c r="T32" i="3"/>
  <c r="B32" i="3"/>
  <c r="X31" i="3"/>
  <c r="T31" i="3"/>
  <c r="S31" i="3"/>
  <c r="S32" i="3" s="1"/>
  <c r="R31" i="3"/>
  <c r="Q31" i="3"/>
  <c r="Q32" i="3" s="1"/>
  <c r="J31" i="3"/>
  <c r="I31" i="3"/>
  <c r="H31" i="3"/>
  <c r="Y30" i="3"/>
  <c r="T30" i="3"/>
  <c r="S30" i="3"/>
  <c r="Q30" i="3"/>
  <c r="P30" i="3"/>
  <c r="M30" i="3"/>
  <c r="J30" i="3"/>
  <c r="I30" i="3"/>
  <c r="H30" i="3"/>
  <c r="AA28" i="3"/>
  <c r="B28" i="3"/>
  <c r="X27" i="3"/>
  <c r="T27" i="3"/>
  <c r="S27" i="3"/>
  <c r="R27" i="3"/>
  <c r="Q27" i="3"/>
  <c r="J27" i="3"/>
  <c r="I27" i="3"/>
  <c r="H27" i="3"/>
  <c r="X26" i="3"/>
  <c r="T26" i="3"/>
  <c r="S26" i="3"/>
  <c r="R26" i="3"/>
  <c r="P26" i="3"/>
  <c r="J26" i="3"/>
  <c r="I26" i="3"/>
  <c r="H26" i="3"/>
  <c r="Y25" i="3"/>
  <c r="T25" i="3"/>
  <c r="S25" i="3"/>
  <c r="R25" i="3"/>
  <c r="P25" i="3"/>
  <c r="J25" i="3"/>
  <c r="I25" i="3"/>
  <c r="H25" i="3"/>
  <c r="Y24" i="3"/>
  <c r="S24" i="3"/>
  <c r="R24" i="3"/>
  <c r="Q24" i="3"/>
  <c r="P24" i="3"/>
  <c r="J24" i="3"/>
  <c r="I24" i="3"/>
  <c r="I28" i="3" s="1"/>
  <c r="H24" i="3"/>
  <c r="Y23" i="3"/>
  <c r="T23" i="3"/>
  <c r="R23" i="3"/>
  <c r="R28" i="3" s="1"/>
  <c r="Q23" i="3"/>
  <c r="P23" i="3"/>
  <c r="J23" i="3"/>
  <c r="I23" i="3"/>
  <c r="H23" i="3"/>
  <c r="AA21" i="3"/>
  <c r="R21" i="3"/>
  <c r="B21" i="3"/>
  <c r="X20" i="3"/>
  <c r="T20" i="3"/>
  <c r="S20" i="3"/>
  <c r="R20" i="3"/>
  <c r="Q20" i="3"/>
  <c r="M20" i="3"/>
  <c r="J20" i="3"/>
  <c r="I20" i="3"/>
  <c r="H20" i="3"/>
  <c r="X19" i="3"/>
  <c r="T19" i="3"/>
  <c r="S19" i="3"/>
  <c r="R19" i="3"/>
  <c r="P19" i="3"/>
  <c r="M19" i="3"/>
  <c r="J19" i="3"/>
  <c r="I19" i="3"/>
  <c r="H19" i="3"/>
  <c r="Y18" i="3"/>
  <c r="T18" i="3"/>
  <c r="S18" i="3"/>
  <c r="R18" i="3"/>
  <c r="P18" i="3"/>
  <c r="J18" i="3"/>
  <c r="I18" i="3"/>
  <c r="H18" i="3"/>
  <c r="Y17" i="3"/>
  <c r="S17" i="3"/>
  <c r="R17" i="3"/>
  <c r="Q17" i="3"/>
  <c r="P17" i="3"/>
  <c r="M17" i="3"/>
  <c r="J17" i="3"/>
  <c r="I17" i="3"/>
  <c r="H17" i="3"/>
  <c r="Y16" i="3"/>
  <c r="T16" i="3"/>
  <c r="R16" i="3"/>
  <c r="Q16" i="3"/>
  <c r="P16" i="3"/>
  <c r="M16" i="3"/>
  <c r="J16" i="3"/>
  <c r="I16" i="3"/>
  <c r="H16" i="3"/>
  <c r="H21" i="3" s="1"/>
  <c r="AA14" i="3"/>
  <c r="AA41" i="3" s="1"/>
  <c r="S14" i="3"/>
  <c r="G14" i="3"/>
  <c r="B14" i="3"/>
  <c r="X13" i="3"/>
  <c r="T13" i="3"/>
  <c r="S13" i="3"/>
  <c r="R13" i="3"/>
  <c r="P13" i="3"/>
  <c r="M13" i="3"/>
  <c r="J13" i="3"/>
  <c r="K13" i="3" s="1"/>
  <c r="I13" i="3"/>
  <c r="H13" i="3"/>
  <c r="G13" i="3"/>
  <c r="X12" i="3"/>
  <c r="T12" i="3"/>
  <c r="S12" i="3"/>
  <c r="R12" i="3"/>
  <c r="Q12" i="3"/>
  <c r="N12" i="3"/>
  <c r="V12" i="3" s="1"/>
  <c r="K12" i="3"/>
  <c r="L12" i="3" s="1"/>
  <c r="J12" i="3"/>
  <c r="I12" i="3"/>
  <c r="H12" i="3"/>
  <c r="G12" i="3"/>
  <c r="X11" i="3"/>
  <c r="T11" i="3"/>
  <c r="T14" i="3" s="1"/>
  <c r="S11" i="3"/>
  <c r="R11" i="3"/>
  <c r="Q11" i="3"/>
  <c r="K11" i="3"/>
  <c r="K14" i="3" s="1"/>
  <c r="J11" i="3"/>
  <c r="I11" i="3"/>
  <c r="I14" i="3" s="1"/>
  <c r="H11" i="3"/>
  <c r="G11" i="3"/>
  <c r="X8" i="3"/>
  <c r="M25" i="3" s="1"/>
  <c r="J8" i="3"/>
  <c r="D8" i="3"/>
  <c r="X7" i="3"/>
  <c r="X6" i="3"/>
  <c r="M12" i="3" s="1"/>
  <c r="AC5" i="3"/>
  <c r="AC4" i="3"/>
  <c r="M24" i="3" s="1"/>
  <c r="AA39" i="2"/>
  <c r="Y39" i="2"/>
  <c r="P39" i="2"/>
  <c r="I39" i="2"/>
  <c r="H39" i="2"/>
  <c r="B39" i="2"/>
  <c r="Y38" i="2"/>
  <c r="T38" i="2"/>
  <c r="T39" i="2" s="1"/>
  <c r="S38" i="2"/>
  <c r="S39" i="2" s="1"/>
  <c r="Q38" i="2"/>
  <c r="P38" i="2"/>
  <c r="J38" i="2"/>
  <c r="I38" i="2"/>
  <c r="H38" i="2"/>
  <c r="AA36" i="2"/>
  <c r="S36" i="2"/>
  <c r="I36" i="2"/>
  <c r="H36" i="2"/>
  <c r="B36" i="2"/>
  <c r="X35" i="2"/>
  <c r="T35" i="2"/>
  <c r="S35" i="2"/>
  <c r="R35" i="2"/>
  <c r="Q35" i="2"/>
  <c r="J35" i="2"/>
  <c r="I35" i="2"/>
  <c r="H35" i="2"/>
  <c r="Y34" i="2"/>
  <c r="T34" i="2"/>
  <c r="T36" i="2" s="1"/>
  <c r="S34" i="2"/>
  <c r="Q34" i="2"/>
  <c r="Q36" i="2" s="1"/>
  <c r="P34" i="2"/>
  <c r="M34" i="2"/>
  <c r="J34" i="2"/>
  <c r="I34" i="2"/>
  <c r="H34" i="2"/>
  <c r="AA32" i="2"/>
  <c r="T32" i="2"/>
  <c r="B32" i="2"/>
  <c r="X31" i="2"/>
  <c r="T31" i="2"/>
  <c r="S31" i="2"/>
  <c r="R31" i="2"/>
  <c r="Q31" i="2"/>
  <c r="J31" i="2"/>
  <c r="I31" i="2"/>
  <c r="I32" i="2" s="1"/>
  <c r="H31" i="2"/>
  <c r="Y30" i="2"/>
  <c r="T30" i="2"/>
  <c r="S30" i="2"/>
  <c r="S32" i="2" s="1"/>
  <c r="Q30" i="2"/>
  <c r="Q32" i="2" s="1"/>
  <c r="P30" i="2"/>
  <c r="J30" i="2"/>
  <c r="I30" i="2"/>
  <c r="H30" i="2"/>
  <c r="AA28" i="2"/>
  <c r="B28" i="2"/>
  <c r="X27" i="2"/>
  <c r="T27" i="2"/>
  <c r="S27" i="2"/>
  <c r="R27" i="2"/>
  <c r="Q27" i="2"/>
  <c r="J27" i="2"/>
  <c r="I27" i="2"/>
  <c r="H27" i="2"/>
  <c r="X26" i="2"/>
  <c r="T26" i="2"/>
  <c r="S26" i="2"/>
  <c r="R26" i="2"/>
  <c r="P26" i="2"/>
  <c r="J26" i="2"/>
  <c r="I26" i="2"/>
  <c r="H26" i="2"/>
  <c r="Y25" i="2"/>
  <c r="T25" i="2"/>
  <c r="S25" i="2"/>
  <c r="R25" i="2"/>
  <c r="P25" i="2"/>
  <c r="J25" i="2"/>
  <c r="I25" i="2"/>
  <c r="H25" i="2"/>
  <c r="Y24" i="2"/>
  <c r="S24" i="2"/>
  <c r="R24" i="2"/>
  <c r="Q24" i="2"/>
  <c r="P24" i="2"/>
  <c r="M24" i="2"/>
  <c r="J24" i="2"/>
  <c r="I24" i="2"/>
  <c r="H24" i="2"/>
  <c r="Y23" i="2"/>
  <c r="T23" i="2"/>
  <c r="R23" i="2"/>
  <c r="Q23" i="2"/>
  <c r="P23" i="2"/>
  <c r="M23" i="2"/>
  <c r="J23" i="2"/>
  <c r="I23" i="2"/>
  <c r="H23" i="2"/>
  <c r="AA21" i="2"/>
  <c r="B21" i="2"/>
  <c r="X20" i="2"/>
  <c r="T20" i="2"/>
  <c r="S20" i="2"/>
  <c r="R20" i="2"/>
  <c r="Q20" i="2"/>
  <c r="J20" i="2"/>
  <c r="I20" i="2"/>
  <c r="H20" i="2"/>
  <c r="X19" i="2"/>
  <c r="T19" i="2"/>
  <c r="S19" i="2"/>
  <c r="R19" i="2"/>
  <c r="P19" i="2"/>
  <c r="M19" i="2"/>
  <c r="J19" i="2"/>
  <c r="I19" i="2"/>
  <c r="H19" i="2"/>
  <c r="Y18" i="2"/>
  <c r="T18" i="2"/>
  <c r="S18" i="2"/>
  <c r="R18" i="2"/>
  <c r="R21" i="2" s="1"/>
  <c r="P18" i="2"/>
  <c r="J18" i="2"/>
  <c r="I18" i="2"/>
  <c r="H18" i="2"/>
  <c r="Y17" i="2"/>
  <c r="S17" i="2"/>
  <c r="R17" i="2"/>
  <c r="Q17" i="2"/>
  <c r="P17" i="2"/>
  <c r="J17" i="2"/>
  <c r="I17" i="2"/>
  <c r="H17" i="2"/>
  <c r="Y16" i="2"/>
  <c r="T16" i="2"/>
  <c r="R16" i="2"/>
  <c r="Q16" i="2"/>
  <c r="P16" i="2"/>
  <c r="M16" i="2"/>
  <c r="J16" i="2"/>
  <c r="I16" i="2"/>
  <c r="H16" i="2"/>
  <c r="AA14" i="2"/>
  <c r="T14" i="2"/>
  <c r="B14" i="2"/>
  <c r="Z13" i="2"/>
  <c r="X13" i="2"/>
  <c r="T13" i="2"/>
  <c r="S13" i="2"/>
  <c r="R13" i="2"/>
  <c r="P13" i="2"/>
  <c r="J13" i="2"/>
  <c r="I13" i="2"/>
  <c r="H13" i="2"/>
  <c r="G13" i="2"/>
  <c r="K13" i="2" s="1"/>
  <c r="X12" i="2"/>
  <c r="T12" i="2"/>
  <c r="S12" i="2"/>
  <c r="R12" i="2"/>
  <c r="R14" i="2" s="1"/>
  <c r="Q12" i="2"/>
  <c r="M12" i="2"/>
  <c r="K12" i="2"/>
  <c r="L12" i="2" s="1"/>
  <c r="J12" i="2"/>
  <c r="I12" i="2"/>
  <c r="H12" i="2"/>
  <c r="G12" i="2"/>
  <c r="X11" i="2"/>
  <c r="X14" i="2" s="1"/>
  <c r="T11" i="2"/>
  <c r="S11" i="2"/>
  <c r="S14" i="2" s="1"/>
  <c r="R11" i="2"/>
  <c r="Q11" i="2"/>
  <c r="J11" i="2"/>
  <c r="I11" i="2"/>
  <c r="H11" i="2"/>
  <c r="H14" i="2" s="1"/>
  <c r="G11" i="2"/>
  <c r="X8" i="2"/>
  <c r="J8" i="2"/>
  <c r="D8" i="2"/>
  <c r="X7" i="2"/>
  <c r="X6" i="2"/>
  <c r="M11" i="2" s="1"/>
  <c r="AC5" i="2"/>
  <c r="M30" i="2" s="1"/>
  <c r="AC4" i="2"/>
  <c r="M17" i="2" s="1"/>
  <c r="AH44" i="1"/>
  <c r="AD42" i="1"/>
  <c r="B42" i="1"/>
  <c r="AC41" i="1"/>
  <c r="AB41" i="1"/>
  <c r="U41" i="1"/>
  <c r="O41" i="1"/>
  <c r="L41" i="1"/>
  <c r="J41" i="1"/>
  <c r="I41" i="1"/>
  <c r="H41" i="1"/>
  <c r="AC40" i="1"/>
  <c r="AC42" i="1" s="1"/>
  <c r="AB40" i="1"/>
  <c r="AB42" i="1" s="1"/>
  <c r="U40" i="1"/>
  <c r="O40" i="1"/>
  <c r="M40" i="1"/>
  <c r="J40" i="1"/>
  <c r="I40" i="1"/>
  <c r="I42" i="1" s="1"/>
  <c r="H40" i="1"/>
  <c r="AD38" i="1"/>
  <c r="J38" i="1"/>
  <c r="B38" i="1"/>
  <c r="AC37" i="1"/>
  <c r="AB37" i="1"/>
  <c r="U37" i="1"/>
  <c r="O37" i="1"/>
  <c r="L37" i="1"/>
  <c r="J37" i="1"/>
  <c r="I37" i="1"/>
  <c r="H37" i="1"/>
  <c r="AC36" i="1"/>
  <c r="AB36" i="1"/>
  <c r="U36" i="1"/>
  <c r="O36" i="1"/>
  <c r="M36" i="1"/>
  <c r="J36" i="1"/>
  <c r="I36" i="1"/>
  <c r="H36" i="1"/>
  <c r="AA35" i="1"/>
  <c r="U35" i="1"/>
  <c r="O35" i="1"/>
  <c r="M35" i="1"/>
  <c r="J35" i="1"/>
  <c r="I35" i="1"/>
  <c r="I38" i="1" s="1"/>
  <c r="H35" i="1"/>
  <c r="AD33" i="1"/>
  <c r="B33" i="1"/>
  <c r="AC32" i="1"/>
  <c r="AB32" i="1"/>
  <c r="U32" i="1"/>
  <c r="O32" i="1"/>
  <c r="M32" i="1"/>
  <c r="J32" i="1"/>
  <c r="I32" i="1"/>
  <c r="H32" i="1"/>
  <c r="AA31" i="1"/>
  <c r="U31" i="1"/>
  <c r="O31" i="1"/>
  <c r="L31" i="1"/>
  <c r="J31" i="1"/>
  <c r="I31" i="1"/>
  <c r="H31" i="1"/>
  <c r="AA30" i="1"/>
  <c r="U30" i="1"/>
  <c r="O30" i="1"/>
  <c r="M30" i="1"/>
  <c r="J30" i="1"/>
  <c r="I30" i="1"/>
  <c r="H30" i="1"/>
  <c r="AD28" i="1"/>
  <c r="J28" i="1"/>
  <c r="I28" i="1"/>
  <c r="B28" i="1"/>
  <c r="AA27" i="1"/>
  <c r="U27" i="1"/>
  <c r="O27" i="1"/>
  <c r="L27" i="1"/>
  <c r="J27" i="1"/>
  <c r="I27" i="1"/>
  <c r="H27" i="1"/>
  <c r="AA26" i="1"/>
  <c r="U26" i="1"/>
  <c r="O26" i="1"/>
  <c r="M26" i="1"/>
  <c r="J26" i="1"/>
  <c r="I26" i="1"/>
  <c r="H26" i="1"/>
  <c r="AA25" i="1"/>
  <c r="U25" i="1"/>
  <c r="O25" i="1"/>
  <c r="M25" i="1"/>
  <c r="J25" i="1"/>
  <c r="I25" i="1"/>
  <c r="H25" i="1"/>
  <c r="AC24" i="1"/>
  <c r="AB24" i="1"/>
  <c r="U24" i="1"/>
  <c r="O24" i="1"/>
  <c r="M24" i="1"/>
  <c r="J24" i="1"/>
  <c r="I24" i="1"/>
  <c r="H24" i="1"/>
  <c r="AC23" i="1"/>
  <c r="AB23" i="1"/>
  <c r="U23" i="1"/>
  <c r="O23" i="1"/>
  <c r="M23" i="1"/>
  <c r="J23" i="1"/>
  <c r="I23" i="1"/>
  <c r="H23" i="1"/>
  <c r="AD21" i="1"/>
  <c r="B21" i="1"/>
  <c r="AA20" i="1"/>
  <c r="U20" i="1"/>
  <c r="O20" i="1"/>
  <c r="M20" i="1"/>
  <c r="J20" i="1"/>
  <c r="I20" i="1"/>
  <c r="H20" i="1"/>
  <c r="AA19" i="1"/>
  <c r="U19" i="1"/>
  <c r="O19" i="1"/>
  <c r="L19" i="1"/>
  <c r="J19" i="1"/>
  <c r="I19" i="1"/>
  <c r="H19" i="1"/>
  <c r="AA18" i="1"/>
  <c r="U18" i="1"/>
  <c r="O18" i="1"/>
  <c r="M18" i="1"/>
  <c r="J18" i="1"/>
  <c r="I18" i="1"/>
  <c r="H18" i="1"/>
  <c r="AC17" i="1"/>
  <c r="AB17" i="1"/>
  <c r="U17" i="1"/>
  <c r="O17" i="1"/>
  <c r="M17" i="1"/>
  <c r="J17" i="1"/>
  <c r="J21" i="1" s="1"/>
  <c r="I17" i="1"/>
  <c r="H17" i="1"/>
  <c r="AC16" i="1"/>
  <c r="AB16" i="1"/>
  <c r="U16" i="1"/>
  <c r="O16" i="1"/>
  <c r="M16" i="1"/>
  <c r="J16" i="1"/>
  <c r="I16" i="1"/>
  <c r="H16" i="1"/>
  <c r="AD14" i="1"/>
  <c r="B14" i="1"/>
  <c r="AA13" i="1"/>
  <c r="U13" i="1"/>
  <c r="O13" i="1"/>
  <c r="M13" i="1"/>
  <c r="K13" i="1"/>
  <c r="I13" i="1"/>
  <c r="H13" i="1"/>
  <c r="G13" i="1"/>
  <c r="AA12" i="1"/>
  <c r="U12" i="1"/>
  <c r="O12" i="1"/>
  <c r="N12" i="1"/>
  <c r="P12" i="1" s="1"/>
  <c r="M12" i="1"/>
  <c r="K12" i="1"/>
  <c r="J12" i="1"/>
  <c r="H12" i="1"/>
  <c r="G12" i="1"/>
  <c r="I12" i="1" s="1"/>
  <c r="AA11" i="1"/>
  <c r="AA14" i="1" s="1"/>
  <c r="U11" i="1"/>
  <c r="O11" i="1"/>
  <c r="L11" i="1"/>
  <c r="K11" i="1"/>
  <c r="K14" i="1" s="1"/>
  <c r="J11" i="1"/>
  <c r="H11" i="1"/>
  <c r="G11" i="1"/>
  <c r="H5" i="1"/>
  <c r="T12" i="1" l="1"/>
  <c r="Q12" i="1"/>
  <c r="N13" i="1"/>
  <c r="J13" i="1"/>
  <c r="J14" i="1" s="1"/>
  <c r="J44" i="1" s="1"/>
  <c r="L12" i="1"/>
  <c r="G14" i="1"/>
  <c r="N11" i="1"/>
  <c r="O15" i="6"/>
  <c r="O15" i="7" s="1"/>
  <c r="I33" i="1"/>
  <c r="I11" i="1"/>
  <c r="L13" i="1"/>
  <c r="L14" i="1" s="1"/>
  <c r="AE12" i="1"/>
  <c r="AE14" i="1"/>
  <c r="AE13" i="1"/>
  <c r="AE11" i="1"/>
  <c r="J42" i="1"/>
  <c r="M35" i="2"/>
  <c r="M27" i="2"/>
  <c r="M20" i="2"/>
  <c r="M31" i="2"/>
  <c r="I28" i="2"/>
  <c r="H32" i="2"/>
  <c r="H41" i="2" s="1"/>
  <c r="J33" i="1"/>
  <c r="M26" i="2"/>
  <c r="M18" i="2"/>
  <c r="M25" i="2"/>
  <c r="M13" i="2"/>
  <c r="T14" i="4"/>
  <c r="Q14" i="4"/>
  <c r="L13" i="2"/>
  <c r="K11" i="2"/>
  <c r="K14" i="2" s="1"/>
  <c r="G14" i="2"/>
  <c r="N12" i="2"/>
  <c r="B44" i="1"/>
  <c r="H14" i="3"/>
  <c r="L11" i="3"/>
  <c r="Z12" i="2"/>
  <c r="Z14" i="2"/>
  <c r="Z11" i="2"/>
  <c r="AD44" i="1"/>
  <c r="I14" i="2"/>
  <c r="I21" i="2"/>
  <c r="R28" i="2"/>
  <c r="Q39" i="2"/>
  <c r="I21" i="1"/>
  <c r="L15" i="4"/>
  <c r="O12" i="3"/>
  <c r="M38" i="2"/>
  <c r="K15" i="6"/>
  <c r="R14" i="3"/>
  <c r="Z13" i="3"/>
  <c r="I15" i="4"/>
  <c r="I41" i="4"/>
  <c r="T13" i="4"/>
  <c r="Q13" i="4"/>
  <c r="S17" i="8"/>
  <c r="O21" i="8"/>
  <c r="B41" i="2"/>
  <c r="I28" i="6"/>
  <c r="B41" i="3"/>
  <c r="H28" i="3"/>
  <c r="M12" i="4"/>
  <c r="M35" i="3"/>
  <c r="M31" i="3"/>
  <c r="M27" i="3"/>
  <c r="Z11" i="3"/>
  <c r="X14" i="3"/>
  <c r="AA41" i="2"/>
  <c r="H21" i="2"/>
  <c r="T14" i="5"/>
  <c r="R23" i="5"/>
  <c r="H28" i="2"/>
  <c r="H36" i="3"/>
  <c r="N13" i="5"/>
  <c r="H32" i="3"/>
  <c r="AA15" i="4"/>
  <c r="AE12" i="4"/>
  <c r="L13" i="3"/>
  <c r="I21" i="3"/>
  <c r="I41" i="3" s="1"/>
  <c r="I32" i="3"/>
  <c r="H28" i="7"/>
  <c r="AE14" i="4"/>
  <c r="AE19" i="4"/>
  <c r="AE29" i="4"/>
  <c r="AE36" i="4"/>
  <c r="M23" i="3"/>
  <c r="M20" i="5"/>
  <c r="M30" i="5"/>
  <c r="M37" i="5"/>
  <c r="M29" i="5"/>
  <c r="M21" i="5"/>
  <c r="I21" i="8"/>
  <c r="M26" i="3"/>
  <c r="I21" i="6"/>
  <c r="H14" i="5"/>
  <c r="H41" i="5"/>
  <c r="O13" i="6"/>
  <c r="M13" i="6"/>
  <c r="F16" i="6"/>
  <c r="M14" i="9"/>
  <c r="L14" i="9" s="1"/>
  <c r="P14" i="6"/>
  <c r="O14" i="6"/>
  <c r="O14" i="7" s="1"/>
  <c r="M14" i="8"/>
  <c r="M11" i="3"/>
  <c r="AE20" i="4"/>
  <c r="L11" i="5"/>
  <c r="H13" i="6"/>
  <c r="AE28" i="4"/>
  <c r="M11" i="5"/>
  <c r="K12" i="5"/>
  <c r="K14" i="5" s="1"/>
  <c r="I34" i="6"/>
  <c r="B14" i="4"/>
  <c r="B15" i="4" s="1"/>
  <c r="J41" i="4"/>
  <c r="R32" i="5"/>
  <c r="Z12" i="3"/>
  <c r="M18" i="3"/>
  <c r="M26" i="5"/>
  <c r="M25" i="5"/>
  <c r="M14" i="7"/>
  <c r="P14" i="7"/>
  <c r="AE35" i="4"/>
  <c r="M13" i="5"/>
  <c r="I14" i="5"/>
  <c r="AE15" i="4"/>
  <c r="M35" i="5"/>
  <c r="M34" i="5"/>
  <c r="H14" i="7"/>
  <c r="Z36" i="5"/>
  <c r="H21" i="6"/>
  <c r="I31" i="7"/>
  <c r="H21" i="8"/>
  <c r="I16" i="6"/>
  <c r="U18" i="8"/>
  <c r="V18" i="8" s="1"/>
  <c r="Y18" i="8" s="1"/>
  <c r="V14" i="8"/>
  <c r="Y14" i="8" s="1"/>
  <c r="U14" i="8"/>
  <c r="Z37" i="5"/>
  <c r="H33" i="7"/>
  <c r="O28" i="8"/>
  <c r="S26" i="8"/>
  <c r="K15" i="9"/>
  <c r="AB16" i="8"/>
  <c r="AA16" i="8"/>
  <c r="AB13" i="6"/>
  <c r="I21" i="7"/>
  <c r="AB14" i="8"/>
  <c r="Z20" i="5"/>
  <c r="I15" i="6"/>
  <c r="D38" i="7"/>
  <c r="F15" i="7"/>
  <c r="F13" i="7"/>
  <c r="H25" i="8"/>
  <c r="H14" i="9"/>
  <c r="B11" i="5"/>
  <c r="B14" i="5" s="1"/>
  <c r="H28" i="6"/>
  <c r="I7" i="7"/>
  <c r="V13" i="8"/>
  <c r="G14" i="5"/>
  <c r="AE34" i="6"/>
  <c r="D38" i="8"/>
  <c r="F14" i="8"/>
  <c r="F15" i="8"/>
  <c r="F13" i="8"/>
  <c r="Z14" i="5"/>
  <c r="I7" i="8"/>
  <c r="S16" i="8"/>
  <c r="M15" i="6"/>
  <c r="AE34" i="8"/>
  <c r="E21" i="8"/>
  <c r="Z21" i="5"/>
  <c r="AB13" i="7"/>
  <c r="AB16" i="7"/>
  <c r="AA16" i="7"/>
  <c r="H25" i="7"/>
  <c r="AE31" i="7"/>
  <c r="E31" i="7"/>
  <c r="V22" i="8"/>
  <c r="H28" i="8"/>
  <c r="E33" i="8"/>
  <c r="AE33" i="8"/>
  <c r="H25" i="6"/>
  <c r="AE16" i="7"/>
  <c r="AE34" i="7" s="1"/>
  <c r="E16" i="7"/>
  <c r="I25" i="7"/>
  <c r="AE28" i="9"/>
  <c r="AE34" i="9" s="1"/>
  <c r="E28" i="9"/>
  <c r="H25" i="9"/>
  <c r="H31" i="9"/>
  <c r="AE31" i="8"/>
  <c r="F13" i="9"/>
  <c r="T29" i="7"/>
  <c r="AE21" i="8"/>
  <c r="G24" i="8"/>
  <c r="V19" i="8"/>
  <c r="Y19" i="8" s="1"/>
  <c r="I34" i="9"/>
  <c r="T18" i="7"/>
  <c r="T19" i="8"/>
  <c r="U19" i="8" s="1"/>
  <c r="I28" i="8"/>
  <c r="E16" i="9"/>
  <c r="T20" i="7"/>
  <c r="G27" i="7"/>
  <c r="H31" i="8"/>
  <c r="U30" i="8"/>
  <c r="V30" i="8" s="1"/>
  <c r="Y30" i="8" s="1"/>
  <c r="G18" i="7"/>
  <c r="J16" i="8"/>
  <c r="I25" i="8"/>
  <c r="S23" i="8"/>
  <c r="AE28" i="8"/>
  <c r="V27" i="8"/>
  <c r="Y27" i="8" s="1"/>
  <c r="I16" i="9"/>
  <c r="J16" i="7"/>
  <c r="T24" i="7"/>
  <c r="G32" i="8"/>
  <c r="G23" i="8"/>
  <c r="G15" i="8"/>
  <c r="G26" i="8"/>
  <c r="G18" i="8"/>
  <c r="O33" i="8"/>
  <c r="H21" i="9"/>
  <c r="AB14" i="9"/>
  <c r="T29" i="8"/>
  <c r="U29" i="8" s="1"/>
  <c r="U31" i="8" s="1"/>
  <c r="D41" i="8"/>
  <c r="T20" i="8"/>
  <c r="U20" i="8" s="1"/>
  <c r="V20" i="8" s="1"/>
  <c r="Y20" i="8" s="1"/>
  <c r="T23" i="8"/>
  <c r="T15" i="8"/>
  <c r="U15" i="8" s="1"/>
  <c r="O16" i="8"/>
  <c r="O34" i="8"/>
  <c r="G30" i="8"/>
  <c r="D40" i="8"/>
  <c r="AE21" i="9"/>
  <c r="G15" i="7"/>
  <c r="T30" i="7"/>
  <c r="G14" i="8"/>
  <c r="O25" i="8"/>
  <c r="S32" i="8"/>
  <c r="I7" i="9"/>
  <c r="AE31" i="9"/>
  <c r="E31" i="9"/>
  <c r="J16" i="9"/>
  <c r="G18" i="9"/>
  <c r="G26" i="9"/>
  <c r="D40" i="9"/>
  <c r="H33" i="9"/>
  <c r="AD15" i="4" l="1"/>
  <c r="B41" i="4"/>
  <c r="V15" i="8"/>
  <c r="Y15" i="8" s="1"/>
  <c r="U16" i="8"/>
  <c r="AB14" i="5"/>
  <c r="B41" i="5"/>
  <c r="M13" i="9"/>
  <c r="M13" i="8"/>
  <c r="M16" i="6"/>
  <c r="M15" i="8"/>
  <c r="L15" i="8" s="1"/>
  <c r="M15" i="9"/>
  <c r="P15" i="6"/>
  <c r="O16" i="6"/>
  <c r="O13" i="7"/>
  <c r="S21" i="8"/>
  <c r="U17" i="8"/>
  <c r="U21" i="8" s="1"/>
  <c r="V17" i="8"/>
  <c r="S34" i="8"/>
  <c r="N13" i="2"/>
  <c r="V13" i="2" s="1"/>
  <c r="K14" i="7"/>
  <c r="P13" i="6"/>
  <c r="R13" i="4"/>
  <c r="S13" i="4" s="1"/>
  <c r="AG13" i="4" s="1"/>
  <c r="AF13" i="4" s="1"/>
  <c r="AB13" i="4"/>
  <c r="V13" i="4"/>
  <c r="AB14" i="4"/>
  <c r="R14" i="4"/>
  <c r="S14" i="4" s="1"/>
  <c r="AG14" i="4" s="1"/>
  <c r="F16" i="9"/>
  <c r="H13" i="9"/>
  <c r="V14" i="4"/>
  <c r="N14" i="1"/>
  <c r="P13" i="1"/>
  <c r="T13" i="1" s="1"/>
  <c r="R14" i="7"/>
  <c r="Q14" i="7"/>
  <c r="AC14" i="7"/>
  <c r="H34" i="6"/>
  <c r="K13" i="6"/>
  <c r="H16" i="6"/>
  <c r="L14" i="8"/>
  <c r="M15" i="4"/>
  <c r="P12" i="4"/>
  <c r="I41" i="2"/>
  <c r="N14" i="7"/>
  <c r="S14" i="7"/>
  <c r="P12" i="3"/>
  <c r="W12" i="3" s="1"/>
  <c r="S15" i="7"/>
  <c r="V12" i="2"/>
  <c r="O12" i="2"/>
  <c r="I14" i="1"/>
  <c r="I44" i="1" s="1"/>
  <c r="M11" i="1"/>
  <c r="I15" i="8"/>
  <c r="N13" i="3"/>
  <c r="V13" i="3" s="1"/>
  <c r="O13" i="3"/>
  <c r="V29" i="8"/>
  <c r="M13" i="7"/>
  <c r="H13" i="7"/>
  <c r="F16" i="7"/>
  <c r="Y13" i="8"/>
  <c r="S14" i="6"/>
  <c r="Q14" i="6"/>
  <c r="AC14" i="6"/>
  <c r="V13" i="5"/>
  <c r="O13" i="5"/>
  <c r="S33" i="8"/>
  <c r="U32" i="8"/>
  <c r="U33" i="8" s="1"/>
  <c r="U23" i="8"/>
  <c r="U25" i="8" s="1"/>
  <c r="S25" i="8"/>
  <c r="L12" i="5"/>
  <c r="L14" i="3"/>
  <c r="N11" i="3"/>
  <c r="O11" i="3" s="1"/>
  <c r="S28" i="8"/>
  <c r="U26" i="8"/>
  <c r="U28" i="8" s="1"/>
  <c r="L14" i="5"/>
  <c r="N11" i="5"/>
  <c r="O11" i="5"/>
  <c r="H41" i="3"/>
  <c r="L11" i="2"/>
  <c r="K14" i="9"/>
  <c r="Z14" i="3"/>
  <c r="AB12" i="1"/>
  <c r="R12" i="1"/>
  <c r="P14" i="8"/>
  <c r="N14" i="8"/>
  <c r="H14" i="8"/>
  <c r="P15" i="7"/>
  <c r="M15" i="7"/>
  <c r="N15" i="7" s="1"/>
  <c r="I15" i="7"/>
  <c r="P6" i="8"/>
  <c r="D44" i="8"/>
  <c r="Y22" i="8"/>
  <c r="F16" i="8"/>
  <c r="N13" i="8"/>
  <c r="H13" i="8"/>
  <c r="V12" i="1"/>
  <c r="W12" i="1"/>
  <c r="Y12" i="1" s="1"/>
  <c r="AF14" i="4" l="1"/>
  <c r="O14" i="3"/>
  <c r="P11" i="3"/>
  <c r="U11" i="3" s="1"/>
  <c r="Q15" i="7"/>
  <c r="AC15" i="7"/>
  <c r="AD14" i="7"/>
  <c r="W14" i="7"/>
  <c r="X14" i="7" s="1"/>
  <c r="Z14" i="7" s="1"/>
  <c r="L15" i="9"/>
  <c r="V11" i="5"/>
  <c r="N14" i="5"/>
  <c r="U13" i="3"/>
  <c r="Q13" i="3"/>
  <c r="L13" i="8"/>
  <c r="M16" i="8"/>
  <c r="P11" i="5"/>
  <c r="U11" i="5"/>
  <c r="Q14" i="8"/>
  <c r="R14" i="8" s="1"/>
  <c r="AC14" i="8"/>
  <c r="M16" i="9"/>
  <c r="L13" i="9"/>
  <c r="U15" i="7"/>
  <c r="V15" i="7" s="1"/>
  <c r="Y15" i="7" s="1"/>
  <c r="V32" i="8"/>
  <c r="AC12" i="1"/>
  <c r="X12" i="1"/>
  <c r="H34" i="9"/>
  <c r="K13" i="9"/>
  <c r="H16" i="9"/>
  <c r="K14" i="8"/>
  <c r="W14" i="6"/>
  <c r="X14" i="6" s="1"/>
  <c r="Z14" i="6" s="1"/>
  <c r="AD14" i="6"/>
  <c r="O13" i="2"/>
  <c r="H34" i="7"/>
  <c r="H16" i="7"/>
  <c r="K13" i="7"/>
  <c r="V13" i="1"/>
  <c r="W13" i="1" s="1"/>
  <c r="Y13" i="1" s="1"/>
  <c r="K15" i="8"/>
  <c r="I16" i="8"/>
  <c r="I34" i="8"/>
  <c r="R14" i="6"/>
  <c r="N15" i="8"/>
  <c r="U34" i="8"/>
  <c r="D47" i="8" s="1"/>
  <c r="K13" i="8"/>
  <c r="H16" i="8"/>
  <c r="H34" i="8"/>
  <c r="Z14" i="4"/>
  <c r="Y17" i="8"/>
  <c r="Y21" i="8" s="1"/>
  <c r="V21" i="8"/>
  <c r="M16" i="7"/>
  <c r="V31" i="8"/>
  <c r="Y29" i="8"/>
  <c r="Y31" i="8" s="1"/>
  <c r="W14" i="4"/>
  <c r="Y14" i="4" s="1"/>
  <c r="P13" i="8"/>
  <c r="P15" i="8"/>
  <c r="U14" i="7"/>
  <c r="V14" i="7" s="1"/>
  <c r="Y14" i="7" s="1"/>
  <c r="V26" i="8"/>
  <c r="N12" i="5"/>
  <c r="V12" i="5" s="1"/>
  <c r="O12" i="5"/>
  <c r="V16" i="8"/>
  <c r="Q13" i="1"/>
  <c r="AC15" i="6"/>
  <c r="S15" i="6"/>
  <c r="Q15" i="6"/>
  <c r="R15" i="6"/>
  <c r="Y16" i="8"/>
  <c r="P12" i="2"/>
  <c r="W12" i="2" s="1"/>
  <c r="O16" i="7"/>
  <c r="S13" i="7"/>
  <c r="N13" i="7"/>
  <c r="U12" i="3"/>
  <c r="S13" i="6"/>
  <c r="Q13" i="6"/>
  <c r="R13" i="6" s="1"/>
  <c r="AC13" i="6"/>
  <c r="P16" i="6"/>
  <c r="Q13" i="5"/>
  <c r="U13" i="5"/>
  <c r="T12" i="4"/>
  <c r="P15" i="4"/>
  <c r="N14" i="3"/>
  <c r="V11" i="3"/>
  <c r="V14" i="3" s="1"/>
  <c r="M14" i="1"/>
  <c r="P11" i="1"/>
  <c r="Q11" i="1"/>
  <c r="P13" i="7"/>
  <c r="K16" i="6"/>
  <c r="Z13" i="4"/>
  <c r="Z12" i="1"/>
  <c r="X13" i="4"/>
  <c r="AC13" i="4"/>
  <c r="S12" i="1"/>
  <c r="AF12" i="1" s="1"/>
  <c r="Q12" i="4"/>
  <c r="U14" i="6"/>
  <c r="V14" i="6" s="1"/>
  <c r="Y14" i="6" s="1"/>
  <c r="O14" i="9" s="1"/>
  <c r="X14" i="4"/>
  <c r="AC14" i="4"/>
  <c r="I34" i="7"/>
  <c r="I16" i="7"/>
  <c r="K15" i="7"/>
  <c r="O11" i="2"/>
  <c r="L14" i="2"/>
  <c r="N11" i="2"/>
  <c r="V23" i="8"/>
  <c r="W13" i="4"/>
  <c r="Y13" i="4" s="1"/>
  <c r="N14" i="9" l="1"/>
  <c r="S14" i="9"/>
  <c r="P14" i="9"/>
  <c r="Y11" i="3"/>
  <c r="U14" i="3"/>
  <c r="AB11" i="3"/>
  <c r="R16" i="6"/>
  <c r="K16" i="7"/>
  <c r="AB13" i="1"/>
  <c r="R13" i="1"/>
  <c r="S13" i="1"/>
  <c r="AF13" i="1" s="1"/>
  <c r="AB13" i="3"/>
  <c r="Y13" i="3"/>
  <c r="V14" i="5"/>
  <c r="O14" i="2"/>
  <c r="P11" i="2"/>
  <c r="U11" i="2" s="1"/>
  <c r="K16" i="8"/>
  <c r="W14" i="8"/>
  <c r="X14" i="8" s="1"/>
  <c r="Z14" i="8" s="1"/>
  <c r="AD14" i="8"/>
  <c r="P14" i="5"/>
  <c r="W11" i="5"/>
  <c r="W15" i="7"/>
  <c r="X15" i="7" s="1"/>
  <c r="Z15" i="7" s="1"/>
  <c r="AD15" i="7"/>
  <c r="S16" i="6"/>
  <c r="U13" i="6"/>
  <c r="V13" i="6"/>
  <c r="P12" i="5"/>
  <c r="W12" i="5" s="1"/>
  <c r="O14" i="5"/>
  <c r="R15" i="7"/>
  <c r="S16" i="7"/>
  <c r="U13" i="7"/>
  <c r="V13" i="7" s="1"/>
  <c r="Y11" i="5"/>
  <c r="AC11" i="5"/>
  <c r="V12" i="4"/>
  <c r="T15" i="4"/>
  <c r="Y13" i="5"/>
  <c r="AC13" i="5"/>
  <c r="K16" i="9"/>
  <c r="AB12" i="3"/>
  <c r="Y12" i="3"/>
  <c r="Q13" i="2"/>
  <c r="V28" i="8"/>
  <c r="Y26" i="8"/>
  <c r="Y28" i="8" s="1"/>
  <c r="AC15" i="8"/>
  <c r="Q15" i="8"/>
  <c r="R15" i="8"/>
  <c r="P14" i="3"/>
  <c r="W11" i="3"/>
  <c r="R11" i="1"/>
  <c r="S11" i="1" s="1"/>
  <c r="AB11" i="1"/>
  <c r="Q14" i="1"/>
  <c r="U12" i="2"/>
  <c r="W13" i="5"/>
  <c r="Q14" i="5"/>
  <c r="AD13" i="6"/>
  <c r="Q16" i="6"/>
  <c r="W13" i="6"/>
  <c r="AC13" i="7"/>
  <c r="P16" i="7"/>
  <c r="Q13" i="7"/>
  <c r="R12" i="4"/>
  <c r="AB12" i="4"/>
  <c r="Q15" i="4"/>
  <c r="AC15" i="4"/>
  <c r="Y23" i="8"/>
  <c r="Y25" i="8" s="1"/>
  <c r="V34" i="8"/>
  <c r="V25" i="8"/>
  <c r="AC16" i="6"/>
  <c r="AD15" i="6"/>
  <c r="W15" i="6"/>
  <c r="X15" i="6" s="1"/>
  <c r="Z15" i="6" s="1"/>
  <c r="T11" i="1"/>
  <c r="P14" i="1"/>
  <c r="AC13" i="8"/>
  <c r="P16" i="8"/>
  <c r="Q13" i="8"/>
  <c r="N14" i="2"/>
  <c r="V11" i="2"/>
  <c r="V14" i="2" s="1"/>
  <c r="V15" i="6"/>
  <c r="Y15" i="6" s="1"/>
  <c r="O15" i="9" s="1"/>
  <c r="U15" i="6"/>
  <c r="V33" i="8"/>
  <c r="Y32" i="8"/>
  <c r="Y33" i="8" s="1"/>
  <c r="W13" i="3"/>
  <c r="Q14" i="3"/>
  <c r="Y13" i="7" l="1"/>
  <c r="V16" i="7"/>
  <c r="AB11" i="2"/>
  <c r="Y11" i="2"/>
  <c r="S14" i="1"/>
  <c r="AF11" i="1"/>
  <c r="AF14" i="1" s="1"/>
  <c r="W13" i="2"/>
  <c r="Q14" i="2"/>
  <c r="U13" i="2"/>
  <c r="X12" i="4"/>
  <c r="R15" i="4"/>
  <c r="AC16" i="8"/>
  <c r="N15" i="9"/>
  <c r="S15" i="9"/>
  <c r="P15" i="9"/>
  <c r="AD13" i="8"/>
  <c r="W13" i="8"/>
  <c r="Q16" i="8"/>
  <c r="AD13" i="7"/>
  <c r="W13" i="7"/>
  <c r="Q16" i="7"/>
  <c r="T14" i="1"/>
  <c r="V11" i="1"/>
  <c r="W11" i="1"/>
  <c r="R13" i="7"/>
  <c r="AA13" i="5"/>
  <c r="K19" i="4"/>
  <c r="L19" i="4" s="1"/>
  <c r="K21" i="4"/>
  <c r="M21" i="4" s="1"/>
  <c r="K17" i="4"/>
  <c r="K20" i="4"/>
  <c r="L20" i="4" s="1"/>
  <c r="K18" i="4"/>
  <c r="L18" i="4" s="1"/>
  <c r="K22" i="4"/>
  <c r="R13" i="8"/>
  <c r="S12" i="4"/>
  <c r="AC11" i="1"/>
  <c r="AC14" i="1" s="1"/>
  <c r="X11" i="1"/>
  <c r="X14" i="1" s="1"/>
  <c r="R14" i="1"/>
  <c r="Y34" i="8"/>
  <c r="AB14" i="3"/>
  <c r="AB15" i="4"/>
  <c r="AA11" i="5"/>
  <c r="W14" i="5"/>
  <c r="Y12" i="2"/>
  <c r="AB12" i="2"/>
  <c r="W11" i="2"/>
  <c r="W14" i="2" s="1"/>
  <c r="P14" i="2"/>
  <c r="Y14" i="3"/>
  <c r="AC16" i="7"/>
  <c r="V15" i="4"/>
  <c r="V16" i="6"/>
  <c r="Y13" i="6"/>
  <c r="AC14" i="9"/>
  <c r="Q14" i="9"/>
  <c r="U16" i="7"/>
  <c r="AC13" i="1"/>
  <c r="X13" i="1"/>
  <c r="Z13" i="1" s="1"/>
  <c r="AB14" i="1"/>
  <c r="F19" i="6"/>
  <c r="F17" i="6"/>
  <c r="F20" i="6"/>
  <c r="F18" i="6"/>
  <c r="U12" i="5"/>
  <c r="W15" i="8"/>
  <c r="X15" i="8" s="1"/>
  <c r="Z15" i="8" s="1"/>
  <c r="AD15" i="8"/>
  <c r="W12" i="4"/>
  <c r="U16" i="6"/>
  <c r="U14" i="9"/>
  <c r="V14" i="9" s="1"/>
  <c r="Y14" i="9" s="1"/>
  <c r="W14" i="3"/>
  <c r="W16" i="6"/>
  <c r="X13" i="6"/>
  <c r="AD16" i="6"/>
  <c r="F19" i="8" l="1"/>
  <c r="F18" i="8"/>
  <c r="F17" i="8"/>
  <c r="F20" i="8"/>
  <c r="AD14" i="9"/>
  <c r="W14" i="9"/>
  <c r="X14" i="9" s="1"/>
  <c r="Z14" i="9" s="1"/>
  <c r="AB13" i="2"/>
  <c r="Y13" i="2"/>
  <c r="Y14" i="2" s="1"/>
  <c r="R16" i="7"/>
  <c r="W16" i="7"/>
  <c r="X13" i="7"/>
  <c r="G19" i="3"/>
  <c r="G16" i="3"/>
  <c r="G18" i="3"/>
  <c r="G17" i="3"/>
  <c r="G20" i="3"/>
  <c r="W16" i="8"/>
  <c r="X13" i="8"/>
  <c r="U14" i="2"/>
  <c r="P5" i="8"/>
  <c r="D43" i="8"/>
  <c r="X15" i="4"/>
  <c r="O13" i="9"/>
  <c r="Y16" i="6"/>
  <c r="J19" i="6"/>
  <c r="K19" i="6" s="1"/>
  <c r="J17" i="6"/>
  <c r="J20" i="6"/>
  <c r="K20" i="6" s="1"/>
  <c r="J18" i="6"/>
  <c r="K18" i="6" s="1"/>
  <c r="M23" i="4"/>
  <c r="Q15" i="9"/>
  <c r="R15" i="9" s="1"/>
  <c r="AC15" i="9"/>
  <c r="AB14" i="2"/>
  <c r="Y11" i="1"/>
  <c r="Y14" i="1" s="1"/>
  <c r="W14" i="1"/>
  <c r="R14" i="9"/>
  <c r="AG12" i="4"/>
  <c r="S15" i="4"/>
  <c r="M18" i="6"/>
  <c r="Z12" i="4"/>
  <c r="F18" i="7"/>
  <c r="F20" i="7"/>
  <c r="F19" i="7"/>
  <c r="F17" i="7"/>
  <c r="G20" i="1"/>
  <c r="G18" i="1"/>
  <c r="G16" i="1"/>
  <c r="G19" i="1"/>
  <c r="G17" i="1"/>
  <c r="U15" i="9"/>
  <c r="V15" i="9"/>
  <c r="Y15" i="9" s="1"/>
  <c r="V14" i="1"/>
  <c r="Z11" i="1"/>
  <c r="Z14" i="1" s="1"/>
  <c r="W15" i="4"/>
  <c r="Y12" i="4"/>
  <c r="AC12" i="5"/>
  <c r="Y12" i="5"/>
  <c r="U14" i="5"/>
  <c r="M17" i="6"/>
  <c r="O17" i="6"/>
  <c r="F21" i="6"/>
  <c r="AD16" i="8"/>
  <c r="K18" i="1"/>
  <c r="L18" i="1" s="1"/>
  <c r="K16" i="1"/>
  <c r="K19" i="1"/>
  <c r="M19" i="1" s="1"/>
  <c r="M21" i="1" s="1"/>
  <c r="K20" i="1"/>
  <c r="L20" i="1" s="1"/>
  <c r="K17" i="1"/>
  <c r="L17" i="1" s="1"/>
  <c r="AD16" i="7"/>
  <c r="R16" i="8"/>
  <c r="M20" i="6"/>
  <c r="X16" i="6"/>
  <c r="Z13" i="6"/>
  <c r="L17" i="4"/>
  <c r="K23" i="4"/>
  <c r="M19" i="6"/>
  <c r="G21" i="4"/>
  <c r="G19" i="4"/>
  <c r="G17" i="4"/>
  <c r="G20" i="4"/>
  <c r="G18" i="4"/>
  <c r="G22" i="4"/>
  <c r="Y16" i="7"/>
  <c r="G19" i="2" l="1"/>
  <c r="G16" i="2"/>
  <c r="G18" i="2"/>
  <c r="G17" i="2"/>
  <c r="G20" i="2"/>
  <c r="Y14" i="5"/>
  <c r="M18" i="7"/>
  <c r="P18" i="7" s="1"/>
  <c r="M19" i="9"/>
  <c r="M19" i="8"/>
  <c r="L19" i="8" s="1"/>
  <c r="O19" i="6"/>
  <c r="P20" i="7"/>
  <c r="M20" i="7"/>
  <c r="N21" i="4"/>
  <c r="Q21" i="4" s="1"/>
  <c r="P21" i="4"/>
  <c r="T21" i="4" s="1"/>
  <c r="P20" i="1"/>
  <c r="T20" i="1" s="1"/>
  <c r="N20" i="1"/>
  <c r="Q20" i="1" s="1"/>
  <c r="M17" i="7"/>
  <c r="F21" i="7"/>
  <c r="M18" i="8"/>
  <c r="L18" i="8" s="1"/>
  <c r="M18" i="9"/>
  <c r="L19" i="3"/>
  <c r="K19" i="3"/>
  <c r="P20" i="8"/>
  <c r="Z15" i="4"/>
  <c r="O18" i="6"/>
  <c r="O18" i="7" s="1"/>
  <c r="M20" i="9"/>
  <c r="M20" i="8"/>
  <c r="L20" i="8" s="1"/>
  <c r="O20" i="6"/>
  <c r="O20" i="7" s="1"/>
  <c r="N17" i="1"/>
  <c r="P17" i="1" s="1"/>
  <c r="T17" i="1" s="1"/>
  <c r="AN12" i="4"/>
  <c r="AF12" i="4"/>
  <c r="AG15" i="4"/>
  <c r="AF15" i="4" s="1"/>
  <c r="F21" i="8"/>
  <c r="AA12" i="5"/>
  <c r="AC14" i="5"/>
  <c r="AA14" i="5" s="1"/>
  <c r="AJ11" i="5"/>
  <c r="Z13" i="8"/>
  <c r="X16" i="8"/>
  <c r="K18" i="3"/>
  <c r="L18" i="3" s="1"/>
  <c r="P18" i="4"/>
  <c r="T18" i="4" s="1"/>
  <c r="N18" i="4"/>
  <c r="O16" i="9"/>
  <c r="S13" i="9"/>
  <c r="N13" i="9"/>
  <c r="P13" i="9"/>
  <c r="Z16" i="6"/>
  <c r="K16" i="3"/>
  <c r="K21" i="3" s="1"/>
  <c r="G21" i="3"/>
  <c r="N19" i="8"/>
  <c r="AD15" i="9"/>
  <c r="W15" i="9"/>
  <c r="X15" i="9" s="1"/>
  <c r="Z15" i="9" s="1"/>
  <c r="Y15" i="4"/>
  <c r="K21" i="1"/>
  <c r="L16" i="1"/>
  <c r="L21" i="1" s="1"/>
  <c r="L23" i="4"/>
  <c r="K17" i="3"/>
  <c r="L17" i="3" s="1"/>
  <c r="J18" i="8"/>
  <c r="K18" i="8" s="1"/>
  <c r="J20" i="8"/>
  <c r="K20" i="8" s="1"/>
  <c r="J17" i="8"/>
  <c r="J19" i="8"/>
  <c r="K19" i="8" s="1"/>
  <c r="P20" i="6"/>
  <c r="Q19" i="1"/>
  <c r="N19" i="1"/>
  <c r="P19" i="1"/>
  <c r="T19" i="1" s="1"/>
  <c r="M17" i="8"/>
  <c r="M17" i="9"/>
  <c r="M21" i="6"/>
  <c r="G21" i="1"/>
  <c r="N16" i="1"/>
  <c r="P16" i="1" s="1"/>
  <c r="Z13" i="7"/>
  <c r="X16" i="7"/>
  <c r="M19" i="7"/>
  <c r="K20" i="3"/>
  <c r="L20" i="3"/>
  <c r="K17" i="6"/>
  <c r="J21" i="6"/>
  <c r="O17" i="7"/>
  <c r="N20" i="4"/>
  <c r="P17" i="6"/>
  <c r="N17" i="4"/>
  <c r="G23" i="4"/>
  <c r="N19" i="4"/>
  <c r="P19" i="4" s="1"/>
  <c r="J18" i="7"/>
  <c r="K18" i="7" s="1"/>
  <c r="J19" i="7"/>
  <c r="K19" i="7" s="1"/>
  <c r="J17" i="7"/>
  <c r="J20" i="7"/>
  <c r="K20" i="7" s="1"/>
  <c r="N18" i="1"/>
  <c r="P18" i="1"/>
  <c r="T18" i="1" s="1"/>
  <c r="AB21" i="4" l="1"/>
  <c r="R21" i="4"/>
  <c r="X21" i="4" s="1"/>
  <c r="N18" i="3"/>
  <c r="V18" i="3" s="1"/>
  <c r="R20" i="1"/>
  <c r="AB20" i="1"/>
  <c r="N17" i="3"/>
  <c r="V17" i="3" s="1"/>
  <c r="P21" i="1"/>
  <c r="T16" i="1"/>
  <c r="T19" i="4"/>
  <c r="Q19" i="4"/>
  <c r="V17" i="1"/>
  <c r="AC18" i="7"/>
  <c r="Q18" i="7"/>
  <c r="S20" i="6"/>
  <c r="Q20" i="6"/>
  <c r="W20" i="6" s="1"/>
  <c r="X20" i="6" s="1"/>
  <c r="P19" i="8"/>
  <c r="O19" i="7"/>
  <c r="O21" i="7" s="1"/>
  <c r="P19" i="6"/>
  <c r="N23" i="4"/>
  <c r="G18" i="5"/>
  <c r="G17" i="5"/>
  <c r="G20" i="5"/>
  <c r="G19" i="5"/>
  <c r="G21" i="5"/>
  <c r="G16" i="5"/>
  <c r="G22" i="5"/>
  <c r="P17" i="4"/>
  <c r="P20" i="4"/>
  <c r="T20" i="4" s="1"/>
  <c r="Q17" i="1"/>
  <c r="M21" i="7"/>
  <c r="N19" i="3"/>
  <c r="V19" i="3" s="1"/>
  <c r="O19" i="3"/>
  <c r="S20" i="7"/>
  <c r="N20" i="7"/>
  <c r="P17" i="7"/>
  <c r="V18" i="4"/>
  <c r="J21" i="8"/>
  <c r="K17" i="8"/>
  <c r="V20" i="1"/>
  <c r="W20" i="1" s="1"/>
  <c r="Y20" i="1" s="1"/>
  <c r="K20" i="2"/>
  <c r="L20" i="2" s="1"/>
  <c r="Q20" i="8"/>
  <c r="W20" i="8" s="1"/>
  <c r="X20" i="8" s="1"/>
  <c r="Z20" i="8" s="1"/>
  <c r="Q18" i="4"/>
  <c r="P21" i="6"/>
  <c r="S17" i="6"/>
  <c r="Q17" i="6"/>
  <c r="R17" i="6" s="1"/>
  <c r="N21" i="1"/>
  <c r="N17" i="7"/>
  <c r="S17" i="7"/>
  <c r="N18" i="8"/>
  <c r="P18" i="6"/>
  <c r="K17" i="2"/>
  <c r="L17" i="2" s="1"/>
  <c r="Q20" i="7"/>
  <c r="W20" i="7" s="1"/>
  <c r="X20" i="7" s="1"/>
  <c r="R20" i="7"/>
  <c r="AA20" i="7" s="1"/>
  <c r="Q18" i="1"/>
  <c r="Z16" i="8"/>
  <c r="O21" i="6"/>
  <c r="AC13" i="9"/>
  <c r="P16" i="9"/>
  <c r="Q13" i="9"/>
  <c r="R13" i="9" s="1"/>
  <c r="N18" i="7"/>
  <c r="S18" i="7"/>
  <c r="V21" i="4"/>
  <c r="Z21" i="4" s="1"/>
  <c r="AB19" i="1"/>
  <c r="R19" i="1"/>
  <c r="L16" i="3"/>
  <c r="V18" i="1"/>
  <c r="Q16" i="1"/>
  <c r="J21" i="7"/>
  <c r="K17" i="7"/>
  <c r="P18" i="8"/>
  <c r="M21" i="8"/>
  <c r="L17" i="8"/>
  <c r="K18" i="2"/>
  <c r="L18" i="2" s="1"/>
  <c r="Z16" i="7"/>
  <c r="M21" i="9"/>
  <c r="N20" i="3"/>
  <c r="V20" i="3" s="1"/>
  <c r="V19" i="1"/>
  <c r="W19" i="1" s="1"/>
  <c r="Y19" i="1" s="1"/>
  <c r="S16" i="9"/>
  <c r="U13" i="9"/>
  <c r="N17" i="8"/>
  <c r="G21" i="2"/>
  <c r="K16" i="2"/>
  <c r="K21" i="2" s="1"/>
  <c r="L16" i="2"/>
  <c r="K21" i="6"/>
  <c r="P17" i="8"/>
  <c r="N20" i="8"/>
  <c r="K19" i="2"/>
  <c r="L19" i="2"/>
  <c r="AA17" i="6" l="1"/>
  <c r="R16" i="9"/>
  <c r="N18" i="2"/>
  <c r="V18" i="2" s="1"/>
  <c r="N20" i="2"/>
  <c r="V20" i="2" s="1"/>
  <c r="N17" i="2"/>
  <c r="V17" i="2" s="1"/>
  <c r="AC19" i="1"/>
  <c r="X19" i="1"/>
  <c r="Z19" i="1" s="1"/>
  <c r="L17" i="5"/>
  <c r="K17" i="5"/>
  <c r="AB19" i="4"/>
  <c r="R19" i="4"/>
  <c r="R17" i="1"/>
  <c r="X17" i="1" s="1"/>
  <c r="AC20" i="1"/>
  <c r="X20" i="1"/>
  <c r="U17" i="6"/>
  <c r="V17" i="6" s="1"/>
  <c r="S19" i="1"/>
  <c r="AF19" i="1" s="1"/>
  <c r="S18" i="4"/>
  <c r="R18" i="4"/>
  <c r="X18" i="4" s="1"/>
  <c r="Z18" i="4" s="1"/>
  <c r="O17" i="3"/>
  <c r="S20" i="1"/>
  <c r="AF20" i="1" s="1"/>
  <c r="Q17" i="7"/>
  <c r="V16" i="1"/>
  <c r="W16" i="1" s="1"/>
  <c r="T21" i="1"/>
  <c r="U16" i="9"/>
  <c r="V18" i="7"/>
  <c r="Y18" i="7" s="1"/>
  <c r="U18" i="7"/>
  <c r="S19" i="6"/>
  <c r="R19" i="6"/>
  <c r="Q19" i="6"/>
  <c r="AC19" i="6"/>
  <c r="AC19" i="8"/>
  <c r="Q19" i="8"/>
  <c r="U17" i="7"/>
  <c r="S21" i="7"/>
  <c r="P23" i="4"/>
  <c r="T17" i="4"/>
  <c r="Q17" i="4"/>
  <c r="U20" i="6"/>
  <c r="Z20" i="6" s="1"/>
  <c r="V20" i="4"/>
  <c r="W20" i="4"/>
  <c r="Y20" i="4" s="1"/>
  <c r="R20" i="6"/>
  <c r="AA20" i="6" s="1"/>
  <c r="AB20" i="6" s="1"/>
  <c r="O18" i="3"/>
  <c r="AB18" i="1"/>
  <c r="AB21" i="1" s="1"/>
  <c r="R18" i="1"/>
  <c r="L21" i="2"/>
  <c r="N16" i="2"/>
  <c r="K18" i="5"/>
  <c r="L18" i="5" s="1"/>
  <c r="U20" i="7"/>
  <c r="Z20" i="7" s="1"/>
  <c r="U19" i="3"/>
  <c r="Q19" i="3"/>
  <c r="W19" i="3" s="1"/>
  <c r="AC16" i="9"/>
  <c r="K21" i="8"/>
  <c r="G23" i="5"/>
  <c r="K16" i="5"/>
  <c r="W18" i="7"/>
  <c r="X18" i="7" s="1"/>
  <c r="AD18" i="7"/>
  <c r="Q20" i="4"/>
  <c r="V19" i="4"/>
  <c r="R20" i="8"/>
  <c r="AA20" i="8" s="1"/>
  <c r="V13" i="9"/>
  <c r="K21" i="5"/>
  <c r="L21" i="5" s="1"/>
  <c r="R18" i="7"/>
  <c r="W17" i="6"/>
  <c r="S18" i="6"/>
  <c r="S21" i="6" s="1"/>
  <c r="Q18" i="6"/>
  <c r="AC18" i="6"/>
  <c r="Q16" i="9"/>
  <c r="AD13" i="9"/>
  <c r="W13" i="9"/>
  <c r="K21" i="7"/>
  <c r="R16" i="1"/>
  <c r="Q21" i="1"/>
  <c r="W18" i="1"/>
  <c r="Y18" i="1" s="1"/>
  <c r="K19" i="5"/>
  <c r="L19" i="5"/>
  <c r="S21" i="4"/>
  <c r="AG21" i="4" s="1"/>
  <c r="Z17" i="1"/>
  <c r="W21" i="4"/>
  <c r="Y21" i="4" s="1"/>
  <c r="N19" i="7"/>
  <c r="S19" i="7"/>
  <c r="P19" i="7"/>
  <c r="P21" i="7" s="1"/>
  <c r="Q18" i="8"/>
  <c r="R18" i="8" s="1"/>
  <c r="AC18" i="8"/>
  <c r="Z20" i="1"/>
  <c r="N19" i="2"/>
  <c r="V19" i="2" s="1"/>
  <c r="O20" i="3"/>
  <c r="P21" i="8"/>
  <c r="Q17" i="8"/>
  <c r="L21" i="3"/>
  <c r="N16" i="3"/>
  <c r="W18" i="4"/>
  <c r="Y18" i="4" s="1"/>
  <c r="L20" i="5"/>
  <c r="K20" i="5"/>
  <c r="W17" i="1"/>
  <c r="Y17" i="1" s="1"/>
  <c r="Y17" i="6" l="1"/>
  <c r="N21" i="5"/>
  <c r="V21" i="5" s="1"/>
  <c r="Y16" i="1"/>
  <c r="Y21" i="1" s="1"/>
  <c r="W21" i="1"/>
  <c r="N18" i="5"/>
  <c r="V18" i="5" s="1"/>
  <c r="O18" i="5"/>
  <c r="V20" i="6"/>
  <c r="Y20" i="6" s="1"/>
  <c r="O20" i="9" s="1"/>
  <c r="AC21" i="6"/>
  <c r="U19" i="6"/>
  <c r="U21" i="6" s="1"/>
  <c r="AF21" i="4"/>
  <c r="N21" i="3"/>
  <c r="V16" i="3"/>
  <c r="V21" i="3" s="1"/>
  <c r="V20" i="7"/>
  <c r="Y20" i="7" s="1"/>
  <c r="O17" i="2"/>
  <c r="K23" i="5"/>
  <c r="N17" i="5"/>
  <c r="V17" i="5" s="1"/>
  <c r="AD18" i="6"/>
  <c r="W18" i="6"/>
  <c r="X18" i="6" s="1"/>
  <c r="Z18" i="6" s="1"/>
  <c r="N21" i="2"/>
  <c r="V16" i="2"/>
  <c r="V21" i="2" s="1"/>
  <c r="AC18" i="1"/>
  <c r="AC21" i="1" s="1"/>
  <c r="X18" i="1"/>
  <c r="Z18" i="1" s="1"/>
  <c r="O20" i="2"/>
  <c r="W17" i="8"/>
  <c r="Q21" i="8"/>
  <c r="Z18" i="7"/>
  <c r="P20" i="3"/>
  <c r="S18" i="1"/>
  <c r="AF18" i="1" s="1"/>
  <c r="V17" i="7"/>
  <c r="AD16" i="9"/>
  <c r="AG18" i="4"/>
  <c r="AA18" i="4"/>
  <c r="AE18" i="4" s="1"/>
  <c r="R18" i="6"/>
  <c r="L16" i="5"/>
  <c r="Q21" i="6"/>
  <c r="X16" i="1"/>
  <c r="X21" i="1" s="1"/>
  <c r="R21" i="1"/>
  <c r="G26" i="1"/>
  <c r="G24" i="1"/>
  <c r="G27" i="1"/>
  <c r="G25" i="1"/>
  <c r="G23" i="1"/>
  <c r="AD19" i="8"/>
  <c r="W19" i="8"/>
  <c r="X19" i="8" s="1"/>
  <c r="Z19" i="8" s="1"/>
  <c r="W17" i="7"/>
  <c r="O18" i="2"/>
  <c r="W19" i="4"/>
  <c r="Y19" i="4" s="1"/>
  <c r="O19" i="2"/>
  <c r="X17" i="6"/>
  <c r="AC21" i="8"/>
  <c r="S16" i="1"/>
  <c r="U18" i="3"/>
  <c r="Q18" i="3"/>
  <c r="R19" i="8"/>
  <c r="R17" i="7"/>
  <c r="S17" i="1"/>
  <c r="R20" i="4"/>
  <c r="AB20" i="4"/>
  <c r="F19" i="9"/>
  <c r="F17" i="9"/>
  <c r="F20" i="9"/>
  <c r="F18" i="9"/>
  <c r="Q23" i="4"/>
  <c r="R17" i="4"/>
  <c r="S17" i="4"/>
  <c r="O16" i="2"/>
  <c r="O20" i="5"/>
  <c r="N20" i="5"/>
  <c r="V20" i="5" s="1"/>
  <c r="W18" i="8"/>
  <c r="X18" i="8" s="1"/>
  <c r="Z18" i="8" s="1"/>
  <c r="AD18" i="8"/>
  <c r="Q19" i="7"/>
  <c r="AC19" i="7"/>
  <c r="X19" i="4"/>
  <c r="Z19" i="4" s="1"/>
  <c r="AC19" i="4"/>
  <c r="T17" i="3"/>
  <c r="N19" i="5"/>
  <c r="V19" i="5" s="1"/>
  <c r="U18" i="6"/>
  <c r="V18" i="6" s="1"/>
  <c r="U19" i="7"/>
  <c r="U21" i="7" s="1"/>
  <c r="V19" i="7"/>
  <c r="Y19" i="7" s="1"/>
  <c r="V16" i="9"/>
  <c r="Y13" i="9"/>
  <c r="W19" i="6"/>
  <c r="X19" i="6" s="1"/>
  <c r="AD19" i="6"/>
  <c r="S19" i="4"/>
  <c r="AG19" i="4" s="1"/>
  <c r="AF19" i="4" s="1"/>
  <c r="V17" i="4"/>
  <c r="T23" i="4"/>
  <c r="R17" i="8"/>
  <c r="V21" i="1"/>
  <c r="O16" i="3"/>
  <c r="W16" i="9"/>
  <c r="X13" i="9"/>
  <c r="Y19" i="3"/>
  <c r="AB19" i="3"/>
  <c r="AB23" i="4"/>
  <c r="AB17" i="6"/>
  <c r="AA21" i="6"/>
  <c r="AB21" i="6"/>
  <c r="Y18" i="6" l="1"/>
  <c r="O18" i="9" s="1"/>
  <c r="V19" i="6"/>
  <c r="Y19" i="6" s="1"/>
  <c r="O19" i="9" s="1"/>
  <c r="F22" i="8"/>
  <c r="F23" i="8"/>
  <c r="F24" i="8"/>
  <c r="O17" i="5"/>
  <c r="AG17" i="4"/>
  <c r="AA17" i="4"/>
  <c r="S23" i="4"/>
  <c r="V23" i="4"/>
  <c r="W17" i="4"/>
  <c r="F21" i="9"/>
  <c r="L17" i="9"/>
  <c r="Q18" i="5"/>
  <c r="P21" i="3"/>
  <c r="W20" i="3"/>
  <c r="N25" i="1"/>
  <c r="P18" i="9"/>
  <c r="L18" i="9"/>
  <c r="N24" i="1"/>
  <c r="P24" i="1" s="1"/>
  <c r="L23" i="5"/>
  <c r="O16" i="5"/>
  <c r="N16" i="5"/>
  <c r="K24" i="1"/>
  <c r="L24" i="1" s="1"/>
  <c r="K25" i="1"/>
  <c r="L25" i="1" s="1"/>
  <c r="K23" i="1"/>
  <c r="K26" i="1"/>
  <c r="L26" i="1" s="1"/>
  <c r="K27" i="1"/>
  <c r="M27" i="1" s="1"/>
  <c r="M28" i="1" s="1"/>
  <c r="X17" i="4"/>
  <c r="R23" i="4"/>
  <c r="U20" i="3"/>
  <c r="P20" i="9"/>
  <c r="L20" i="9"/>
  <c r="S20" i="9"/>
  <c r="N20" i="9"/>
  <c r="AC20" i="4"/>
  <c r="X20" i="4"/>
  <c r="Z20" i="4" s="1"/>
  <c r="AB18" i="3"/>
  <c r="X18" i="3"/>
  <c r="F23" i="6"/>
  <c r="F24" i="6"/>
  <c r="F22" i="6"/>
  <c r="R19" i="7"/>
  <c r="AD21" i="8"/>
  <c r="S20" i="4"/>
  <c r="AG20" i="4" s="1"/>
  <c r="R21" i="6"/>
  <c r="P20" i="2"/>
  <c r="U20" i="2"/>
  <c r="T17" i="2"/>
  <c r="R21" i="8"/>
  <c r="AA17" i="8"/>
  <c r="Q23" i="1"/>
  <c r="P23" i="1"/>
  <c r="N23" i="1"/>
  <c r="G28" i="1"/>
  <c r="N26" i="1"/>
  <c r="W21" i="6"/>
  <c r="AD19" i="7"/>
  <c r="W19" i="7"/>
  <c r="X19" i="7" s="1"/>
  <c r="Z19" i="7" s="1"/>
  <c r="O21" i="5"/>
  <c r="W17" i="3"/>
  <c r="T21" i="3"/>
  <c r="N27" i="1"/>
  <c r="Q18" i="2"/>
  <c r="U18" i="2" s="1"/>
  <c r="R21" i="7"/>
  <c r="AA17" i="7"/>
  <c r="AF18" i="4"/>
  <c r="V21" i="7"/>
  <c r="Y17" i="7"/>
  <c r="AF16" i="1"/>
  <c r="AF21" i="1" s="1"/>
  <c r="AA16" i="1"/>
  <c r="S21" i="1"/>
  <c r="AC23" i="4"/>
  <c r="X21" i="6"/>
  <c r="Z17" i="6"/>
  <c r="AC21" i="7"/>
  <c r="Z13" i="9"/>
  <c r="X16" i="9"/>
  <c r="AA17" i="1"/>
  <c r="AF17" i="1"/>
  <c r="S16" i="2"/>
  <c r="O21" i="2"/>
  <c r="Z16" i="1"/>
  <c r="Z21" i="1" s="1"/>
  <c r="O17" i="9"/>
  <c r="P17" i="9" s="1"/>
  <c r="Y21" i="6"/>
  <c r="O19" i="5"/>
  <c r="U17" i="3"/>
  <c r="AD21" i="6"/>
  <c r="G25" i="4"/>
  <c r="G29" i="4"/>
  <c r="G27" i="4"/>
  <c r="G28" i="4"/>
  <c r="G26" i="4"/>
  <c r="G30" i="4"/>
  <c r="P19" i="9"/>
  <c r="L19" i="9"/>
  <c r="Z19" i="6"/>
  <c r="U19" i="2"/>
  <c r="Q19" i="2"/>
  <c r="W19" i="2" s="1"/>
  <c r="W21" i="8"/>
  <c r="X17" i="8"/>
  <c r="Y16" i="9"/>
  <c r="P20" i="5"/>
  <c r="U20" i="5"/>
  <c r="W21" i="7"/>
  <c r="X17" i="7"/>
  <c r="O21" i="3"/>
  <c r="S16" i="3"/>
  <c r="U16" i="3" s="1"/>
  <c r="Q21" i="7"/>
  <c r="Q21" i="3"/>
  <c r="W18" i="3"/>
  <c r="J18" i="9"/>
  <c r="K18" i="9" s="1"/>
  <c r="J17" i="9"/>
  <c r="J20" i="9"/>
  <c r="K20" i="9" s="1"/>
  <c r="J19" i="9"/>
  <c r="K19" i="9" s="1"/>
  <c r="AB18" i="2" l="1"/>
  <c r="X18" i="2"/>
  <c r="AB16" i="3"/>
  <c r="X16" i="3"/>
  <c r="U21" i="3"/>
  <c r="P21" i="9"/>
  <c r="Q17" i="9"/>
  <c r="T24" i="1"/>
  <c r="Q24" i="1"/>
  <c r="Q25" i="1"/>
  <c r="O23" i="6"/>
  <c r="O23" i="7" s="1"/>
  <c r="M23" i="6"/>
  <c r="AE17" i="4"/>
  <c r="AA23" i="4"/>
  <c r="AE23" i="4" s="1"/>
  <c r="S21" i="2"/>
  <c r="W16" i="2"/>
  <c r="N26" i="4"/>
  <c r="AG23" i="4"/>
  <c r="AF23" i="4" s="1"/>
  <c r="AF17" i="4"/>
  <c r="M24" i="6"/>
  <c r="AA21" i="8"/>
  <c r="AB17" i="8"/>
  <c r="AB21" i="8"/>
  <c r="AB20" i="8"/>
  <c r="T21" i="2"/>
  <c r="W17" i="2"/>
  <c r="N28" i="4"/>
  <c r="AC20" i="5"/>
  <c r="AA20" i="5" s="1"/>
  <c r="Y20" i="5"/>
  <c r="T17" i="5"/>
  <c r="U17" i="5"/>
  <c r="X23" i="4"/>
  <c r="Z17" i="4"/>
  <c r="L23" i="1"/>
  <c r="L28" i="1" s="1"/>
  <c r="K28" i="1"/>
  <c r="Y21" i="7"/>
  <c r="AB20" i="2"/>
  <c r="Y20" i="2"/>
  <c r="N29" i="4"/>
  <c r="P29" i="4" s="1"/>
  <c r="R23" i="1"/>
  <c r="Q18" i="9"/>
  <c r="R18" i="9" s="1"/>
  <c r="AC18" i="9"/>
  <c r="X21" i="7"/>
  <c r="Z17" i="7"/>
  <c r="Q23" i="5"/>
  <c r="W18" i="5"/>
  <c r="K29" i="4"/>
  <c r="M29" i="4" s="1"/>
  <c r="K28" i="4"/>
  <c r="L28" i="4" s="1"/>
  <c r="K26" i="4"/>
  <c r="L26" i="4" s="1"/>
  <c r="K30" i="4"/>
  <c r="K25" i="4"/>
  <c r="K27" i="4"/>
  <c r="L27" i="4" s="1"/>
  <c r="P25" i="1"/>
  <c r="T25" i="1" s="1"/>
  <c r="U17" i="2"/>
  <c r="AD21" i="7"/>
  <c r="J24" i="6"/>
  <c r="K24" i="6" s="1"/>
  <c r="J22" i="6"/>
  <c r="J23" i="6"/>
  <c r="K23" i="6" s="1"/>
  <c r="P26" i="1"/>
  <c r="T26" i="1" s="1"/>
  <c r="AF20" i="4"/>
  <c r="U20" i="9"/>
  <c r="V20" i="9" s="1"/>
  <c r="Y20" i="9" s="1"/>
  <c r="V16" i="5"/>
  <c r="N23" i="5"/>
  <c r="U18" i="5"/>
  <c r="F25" i="8"/>
  <c r="N27" i="4"/>
  <c r="W20" i="5"/>
  <c r="X17" i="3"/>
  <c r="AB17" i="3"/>
  <c r="F23" i="7"/>
  <c r="F24" i="7"/>
  <c r="F22" i="7"/>
  <c r="O23" i="5"/>
  <c r="S16" i="5"/>
  <c r="U16" i="5"/>
  <c r="S19" i="9"/>
  <c r="N19" i="9"/>
  <c r="P21" i="5"/>
  <c r="W21" i="5" s="1"/>
  <c r="Z17" i="8"/>
  <c r="X21" i="8"/>
  <c r="U19" i="5"/>
  <c r="Q19" i="5"/>
  <c r="W19" i="5" s="1"/>
  <c r="AA21" i="7"/>
  <c r="AB17" i="7"/>
  <c r="AB21" i="7"/>
  <c r="AB20" i="7"/>
  <c r="J24" i="8"/>
  <c r="K24" i="8" s="1"/>
  <c r="J22" i="8"/>
  <c r="J23" i="8"/>
  <c r="K23" i="8" s="1"/>
  <c r="R20" i="9"/>
  <c r="AA20" i="9" s="1"/>
  <c r="Q20" i="9"/>
  <c r="W20" i="9" s="1"/>
  <c r="X20" i="9" s="1"/>
  <c r="Z20" i="9" s="1"/>
  <c r="AA21" i="1"/>
  <c r="AE20" i="1"/>
  <c r="AE17" i="1"/>
  <c r="AE21" i="1"/>
  <c r="AE18" i="1"/>
  <c r="AE16" i="1"/>
  <c r="AE19" i="1"/>
  <c r="Z16" i="9"/>
  <c r="Z21" i="6"/>
  <c r="AB20" i="3"/>
  <c r="Y20" i="3"/>
  <c r="Y21" i="3" s="1"/>
  <c r="S21" i="3"/>
  <c r="W16" i="3"/>
  <c r="W21" i="3" s="1"/>
  <c r="U16" i="2"/>
  <c r="G31" i="4"/>
  <c r="N25" i="4"/>
  <c r="N28" i="1"/>
  <c r="V21" i="6"/>
  <c r="AC19" i="9"/>
  <c r="R19" i="9"/>
  <c r="Q19" i="9"/>
  <c r="P27" i="1"/>
  <c r="T27" i="1" s="1"/>
  <c r="Q27" i="1"/>
  <c r="W20" i="2"/>
  <c r="P21" i="2"/>
  <c r="J21" i="9"/>
  <c r="K17" i="9"/>
  <c r="AB19" i="2"/>
  <c r="Y19" i="2"/>
  <c r="Y21" i="2" s="1"/>
  <c r="S17" i="9"/>
  <c r="O21" i="9"/>
  <c r="N17" i="9"/>
  <c r="Q21" i="2"/>
  <c r="W18" i="2"/>
  <c r="T23" i="1"/>
  <c r="F25" i="6"/>
  <c r="M22" i="6"/>
  <c r="Y17" i="4"/>
  <c r="W23" i="4"/>
  <c r="S18" i="9"/>
  <c r="N18" i="9"/>
  <c r="T29" i="4" l="1"/>
  <c r="Q29" i="4"/>
  <c r="J25" i="6"/>
  <c r="K22" i="6"/>
  <c r="P28" i="4"/>
  <c r="T28" i="4" s="1"/>
  <c r="R24" i="1"/>
  <c r="X24" i="1" s="1"/>
  <c r="S23" i="7"/>
  <c r="N23" i="7"/>
  <c r="AB25" i="1"/>
  <c r="S25" i="1"/>
  <c r="AF25" i="1" s="1"/>
  <c r="R25" i="1"/>
  <c r="V24" i="1"/>
  <c r="X16" i="5"/>
  <c r="AC16" i="5"/>
  <c r="Z21" i="7"/>
  <c r="W17" i="9"/>
  <c r="Q21" i="9"/>
  <c r="P27" i="4"/>
  <c r="T27" i="4" s="1"/>
  <c r="K21" i="9"/>
  <c r="S23" i="5"/>
  <c r="W16" i="5"/>
  <c r="AB17" i="2"/>
  <c r="X17" i="2"/>
  <c r="M24" i="8"/>
  <c r="M24" i="9"/>
  <c r="M22" i="8"/>
  <c r="M22" i="9"/>
  <c r="M25" i="6"/>
  <c r="V25" i="1"/>
  <c r="W25" i="1"/>
  <c r="Y25" i="1" s="1"/>
  <c r="AC21" i="9"/>
  <c r="P26" i="4"/>
  <c r="T26" i="4" s="1"/>
  <c r="R17" i="9"/>
  <c r="S21" i="9"/>
  <c r="U17" i="9"/>
  <c r="V17" i="9"/>
  <c r="N31" i="4"/>
  <c r="F25" i="7"/>
  <c r="M22" i="7"/>
  <c r="AC18" i="5"/>
  <c r="X18" i="5"/>
  <c r="Z18" i="5" s="1"/>
  <c r="Q26" i="1"/>
  <c r="U19" i="9"/>
  <c r="V19" i="9" s="1"/>
  <c r="Y19" i="9" s="1"/>
  <c r="P25" i="4"/>
  <c r="W21" i="2"/>
  <c r="P23" i="6"/>
  <c r="G27" i="2"/>
  <c r="G23" i="2"/>
  <c r="G26" i="2"/>
  <c r="G24" i="2"/>
  <c r="G25" i="2"/>
  <c r="O22" i="6"/>
  <c r="W18" i="9"/>
  <c r="X18" i="9" s="1"/>
  <c r="AD18" i="9"/>
  <c r="T28" i="1"/>
  <c r="V23" i="1"/>
  <c r="W23" i="1" s="1"/>
  <c r="M23" i="7"/>
  <c r="P23" i="7" s="1"/>
  <c r="K31" i="4"/>
  <c r="L25" i="4"/>
  <c r="Z23" i="4"/>
  <c r="W26" i="1"/>
  <c r="Y26" i="1" s="1"/>
  <c r="V26" i="1"/>
  <c r="U18" i="9"/>
  <c r="V18" i="9" s="1"/>
  <c r="Y18" i="9" s="1"/>
  <c r="X16" i="2"/>
  <c r="AB16" i="2"/>
  <c r="AB21" i="2" s="1"/>
  <c r="U21" i="2"/>
  <c r="V23" i="5"/>
  <c r="X23" i="1"/>
  <c r="X21" i="3"/>
  <c r="Z17" i="3"/>
  <c r="Z19" i="3"/>
  <c r="Z18" i="3"/>
  <c r="Z16" i="3"/>
  <c r="Z20" i="3"/>
  <c r="Y23" i="4"/>
  <c r="J23" i="7"/>
  <c r="K23" i="7" s="1"/>
  <c r="J24" i="7"/>
  <c r="K24" i="7" s="1"/>
  <c r="J22" i="7"/>
  <c r="Y19" i="5"/>
  <c r="AC19" i="5"/>
  <c r="AA19" i="5" s="1"/>
  <c r="P28" i="1"/>
  <c r="AD19" i="9"/>
  <c r="W19" i="9"/>
  <c r="X19" i="9" s="1"/>
  <c r="Z19" i="9" s="1"/>
  <c r="Z21" i="8"/>
  <c r="S23" i="1"/>
  <c r="AB21" i="3"/>
  <c r="Q25" i="4"/>
  <c r="AB27" i="1"/>
  <c r="R27" i="1"/>
  <c r="S27" i="1"/>
  <c r="AF27" i="1" s="1"/>
  <c r="M24" i="7"/>
  <c r="P24" i="7" s="1"/>
  <c r="V27" i="1"/>
  <c r="K22" i="8"/>
  <c r="J25" i="8"/>
  <c r="AC17" i="5"/>
  <c r="AA17" i="5" s="1"/>
  <c r="X17" i="5"/>
  <c r="Z17" i="5" s="1"/>
  <c r="O24" i="6"/>
  <c r="O24" i="7" s="1"/>
  <c r="G26" i="3"/>
  <c r="G23" i="3"/>
  <c r="G25" i="3"/>
  <c r="G27" i="3"/>
  <c r="G24" i="3"/>
  <c r="U21" i="5"/>
  <c r="P23" i="5"/>
  <c r="M31" i="4"/>
  <c r="W17" i="5"/>
  <c r="T23" i="5"/>
  <c r="M23" i="9"/>
  <c r="M23" i="8"/>
  <c r="Q24" i="7" l="1"/>
  <c r="AC24" i="7"/>
  <c r="AC23" i="7"/>
  <c r="Q23" i="7"/>
  <c r="Y23" i="1"/>
  <c r="V23" i="7"/>
  <c r="Y23" i="7" s="1"/>
  <c r="U23" i="7"/>
  <c r="R26" i="1"/>
  <c r="R28" i="1" s="1"/>
  <c r="AB26" i="1"/>
  <c r="AB28" i="1" s="1"/>
  <c r="W27" i="4"/>
  <c r="Y27" i="4" s="1"/>
  <c r="V27" i="4"/>
  <c r="S24" i="1"/>
  <c r="W28" i="4"/>
  <c r="Y28" i="4" s="1"/>
  <c r="V28" i="4"/>
  <c r="M25" i="7"/>
  <c r="M25" i="9"/>
  <c r="L26" i="2"/>
  <c r="K26" i="2"/>
  <c r="K27" i="3"/>
  <c r="L27" i="3" s="1"/>
  <c r="L27" i="2"/>
  <c r="K27" i="2"/>
  <c r="M25" i="8"/>
  <c r="L22" i="8"/>
  <c r="N22" i="8"/>
  <c r="P22" i="8"/>
  <c r="K25" i="6"/>
  <c r="F24" i="9"/>
  <c r="F23" i="9"/>
  <c r="F22" i="9"/>
  <c r="L22" i="9" s="1"/>
  <c r="Z25" i="1"/>
  <c r="Y23" i="5"/>
  <c r="S23" i="6"/>
  <c r="Q23" i="6"/>
  <c r="AC23" i="6"/>
  <c r="AC21" i="5"/>
  <c r="AA21" i="5" s="1"/>
  <c r="Y21" i="5"/>
  <c r="AA18" i="5"/>
  <c r="AC27" i="1"/>
  <c r="X27" i="1"/>
  <c r="Z27" i="1" s="1"/>
  <c r="L24" i="8"/>
  <c r="N24" i="8"/>
  <c r="P24" i="8"/>
  <c r="U23" i="5"/>
  <c r="Q26" i="4"/>
  <c r="O25" i="6"/>
  <c r="O22" i="7"/>
  <c r="AC23" i="5"/>
  <c r="AA23" i="5" s="1"/>
  <c r="AA16" i="5"/>
  <c r="Q27" i="4"/>
  <c r="K25" i="8"/>
  <c r="W21" i="9"/>
  <c r="X17" i="9"/>
  <c r="P22" i="6"/>
  <c r="X21" i="2"/>
  <c r="Z19" i="2"/>
  <c r="Z21" i="2"/>
  <c r="Z20" i="2"/>
  <c r="Z17" i="2"/>
  <c r="Z18" i="2"/>
  <c r="Z16" i="2"/>
  <c r="P31" i="4"/>
  <c r="T25" i="4"/>
  <c r="Y17" i="9"/>
  <c r="V21" i="9"/>
  <c r="Z16" i="5"/>
  <c r="X23" i="5"/>
  <c r="Z23" i="5" s="1"/>
  <c r="AB29" i="4"/>
  <c r="R29" i="4"/>
  <c r="X29" i="4" s="1"/>
  <c r="V26" i="4"/>
  <c r="W26" i="4" s="1"/>
  <c r="Y26" i="4" s="1"/>
  <c r="K25" i="2"/>
  <c r="L25" i="2" s="1"/>
  <c r="W27" i="1"/>
  <c r="Y27" i="1" s="1"/>
  <c r="U21" i="9"/>
  <c r="W23" i="5"/>
  <c r="Z24" i="1"/>
  <c r="V29" i="4"/>
  <c r="K25" i="3"/>
  <c r="L25" i="3" s="1"/>
  <c r="L23" i="8"/>
  <c r="P23" i="8"/>
  <c r="N23" i="8"/>
  <c r="Z21" i="3"/>
  <c r="S24" i="7"/>
  <c r="N24" i="7"/>
  <c r="AD21" i="9"/>
  <c r="W24" i="1"/>
  <c r="Y24" i="1" s="1"/>
  <c r="K24" i="2"/>
  <c r="L24" i="2"/>
  <c r="L31" i="4"/>
  <c r="K24" i="3"/>
  <c r="L24" i="3" s="1"/>
  <c r="G28" i="2"/>
  <c r="K23" i="2"/>
  <c r="G28" i="3"/>
  <c r="K23" i="3"/>
  <c r="L23" i="3"/>
  <c r="K26" i="3"/>
  <c r="L26" i="3"/>
  <c r="J25" i="7"/>
  <c r="K22" i="7"/>
  <c r="V28" i="1"/>
  <c r="Z23" i="1"/>
  <c r="R25" i="4"/>
  <c r="Q28" i="1"/>
  <c r="AF23" i="1"/>
  <c r="AA23" i="1"/>
  <c r="Z18" i="9"/>
  <c r="P24" i="6"/>
  <c r="AA17" i="9"/>
  <c r="R21" i="9"/>
  <c r="AC25" i="1"/>
  <c r="X25" i="1"/>
  <c r="Q28" i="4"/>
  <c r="G32" i="1" l="1"/>
  <c r="G30" i="1"/>
  <c r="G31" i="1"/>
  <c r="N25" i="2"/>
  <c r="V25" i="2" s="1"/>
  <c r="N25" i="3"/>
  <c r="V25" i="3" s="1"/>
  <c r="N24" i="3"/>
  <c r="V24" i="3" s="1"/>
  <c r="O27" i="3"/>
  <c r="N27" i="3"/>
  <c r="V27" i="3" s="1"/>
  <c r="W25" i="4"/>
  <c r="V25" i="4"/>
  <c r="T31" i="4"/>
  <c r="U24" i="7"/>
  <c r="V24" i="7" s="1"/>
  <c r="Y24" i="7" s="1"/>
  <c r="S26" i="1"/>
  <c r="N26" i="2"/>
  <c r="V26" i="2" s="1"/>
  <c r="O26" i="2"/>
  <c r="Y21" i="9"/>
  <c r="K28" i="2"/>
  <c r="W28" i="1"/>
  <c r="O25" i="7"/>
  <c r="S22" i="7"/>
  <c r="N22" i="7"/>
  <c r="Y28" i="1"/>
  <c r="J24" i="9"/>
  <c r="K24" i="9" s="1"/>
  <c r="J23" i="9"/>
  <c r="K23" i="9" s="1"/>
  <c r="J22" i="9"/>
  <c r="P25" i="6"/>
  <c r="Q22" i="6"/>
  <c r="S22" i="6"/>
  <c r="O27" i="2"/>
  <c r="N27" i="2"/>
  <c r="V27" i="2" s="1"/>
  <c r="G28" i="5"/>
  <c r="G31" i="5"/>
  <c r="G30" i="5"/>
  <c r="G29" i="5"/>
  <c r="G27" i="5"/>
  <c r="G25" i="5"/>
  <c r="G26" i="5"/>
  <c r="F25" i="9"/>
  <c r="L23" i="2"/>
  <c r="Z29" i="4"/>
  <c r="P22" i="7"/>
  <c r="R26" i="4"/>
  <c r="X26" i="4" s="1"/>
  <c r="Z26" i="4" s="1"/>
  <c r="L24" i="9"/>
  <c r="Q22" i="8"/>
  <c r="P25" i="8"/>
  <c r="AD23" i="7"/>
  <c r="W23" i="7"/>
  <c r="X23" i="7" s="1"/>
  <c r="Z23" i="7" s="1"/>
  <c r="N23" i="3"/>
  <c r="L28" i="3"/>
  <c r="X25" i="4"/>
  <c r="S25" i="4"/>
  <c r="L23" i="9"/>
  <c r="W29" i="4"/>
  <c r="Y29" i="4" s="1"/>
  <c r="R23" i="7"/>
  <c r="AE23" i="1"/>
  <c r="R23" i="8"/>
  <c r="Q23" i="8"/>
  <c r="AC23" i="8"/>
  <c r="AC28" i="1"/>
  <c r="O24" i="2"/>
  <c r="N24" i="2"/>
  <c r="V24" i="2" s="1"/>
  <c r="X21" i="9"/>
  <c r="Z17" i="9"/>
  <c r="Q24" i="8"/>
  <c r="AC24" i="8"/>
  <c r="AD23" i="6"/>
  <c r="W23" i="6"/>
  <c r="X23" i="6" s="1"/>
  <c r="AC25" i="7"/>
  <c r="R27" i="4"/>
  <c r="S27" i="4" s="1"/>
  <c r="AG27" i="4" s="1"/>
  <c r="AF27" i="4" s="1"/>
  <c r="AB27" i="4"/>
  <c r="K28" i="3"/>
  <c r="S29" i="4"/>
  <c r="AG29" i="4" s="1"/>
  <c r="U23" i="6"/>
  <c r="V23" i="6" s="1"/>
  <c r="Y23" i="6" s="1"/>
  <c r="O23" i="9" s="1"/>
  <c r="N26" i="3"/>
  <c r="V26" i="3" s="1"/>
  <c r="O26" i="3"/>
  <c r="S28" i="4"/>
  <c r="AG28" i="4" s="1"/>
  <c r="R28" i="4"/>
  <c r="AB28" i="4"/>
  <c r="Q31" i="4"/>
  <c r="AC24" i="6"/>
  <c r="AC25" i="6" s="1"/>
  <c r="S24" i="6"/>
  <c r="Q24" i="6"/>
  <c r="R23" i="6"/>
  <c r="AA24" i="1"/>
  <c r="AE25" i="1" s="1"/>
  <c r="AF24" i="1"/>
  <c r="W24" i="7"/>
  <c r="X24" i="7" s="1"/>
  <c r="Z24" i="7" s="1"/>
  <c r="AD24" i="7"/>
  <c r="AC26" i="1"/>
  <c r="X26" i="1"/>
  <c r="AB17" i="9"/>
  <c r="AA21" i="9"/>
  <c r="AB21" i="9"/>
  <c r="AB20" i="9"/>
  <c r="K25" i="7"/>
  <c r="R24" i="7"/>
  <c r="F26" i="6" l="1"/>
  <c r="N23" i="9"/>
  <c r="S23" i="9"/>
  <c r="P23" i="9"/>
  <c r="K28" i="5"/>
  <c r="L28" i="5" s="1"/>
  <c r="AE24" i="1"/>
  <c r="S26" i="4"/>
  <c r="Z25" i="4"/>
  <c r="V31" i="4"/>
  <c r="R31" i="4"/>
  <c r="AE28" i="1"/>
  <c r="AB31" i="4"/>
  <c r="AB41" i="4"/>
  <c r="O24" i="3"/>
  <c r="K30" i="1"/>
  <c r="K31" i="1"/>
  <c r="M31" i="1" s="1"/>
  <c r="M33" i="1" s="1"/>
  <c r="K32" i="1"/>
  <c r="L32" i="1" s="1"/>
  <c r="W24" i="6"/>
  <c r="X24" i="6" s="1"/>
  <c r="Z24" i="6" s="1"/>
  <c r="AD24" i="6"/>
  <c r="AD25" i="6" s="1"/>
  <c r="AF29" i="4"/>
  <c r="AE27" i="1"/>
  <c r="W22" i="6"/>
  <c r="Q25" i="6"/>
  <c r="O25" i="3"/>
  <c r="AA25" i="4"/>
  <c r="AG25" i="4"/>
  <c r="V23" i="3"/>
  <c r="V28" i="3" s="1"/>
  <c r="N28" i="3"/>
  <c r="F26" i="7"/>
  <c r="F27" i="7"/>
  <c r="Z23" i="6"/>
  <c r="AA28" i="1"/>
  <c r="J25" i="9"/>
  <c r="K22" i="9"/>
  <c r="AE31" i="1"/>
  <c r="AD23" i="8"/>
  <c r="W23" i="8"/>
  <c r="X23" i="8" s="1"/>
  <c r="Z23" i="8" s="1"/>
  <c r="AD25" i="7"/>
  <c r="K26" i="5"/>
  <c r="L26" i="5" s="1"/>
  <c r="Q26" i="2"/>
  <c r="W26" i="2" s="1"/>
  <c r="O25" i="2"/>
  <c r="Q22" i="7"/>
  <c r="P25" i="7"/>
  <c r="AC25" i="8"/>
  <c r="U24" i="6"/>
  <c r="V24" i="6" s="1"/>
  <c r="Y24" i="6" s="1"/>
  <c r="O24" i="9" s="1"/>
  <c r="AC28" i="4"/>
  <c r="AC41" i="4" s="1"/>
  <c r="X28" i="4"/>
  <c r="Z28" i="4" s="1"/>
  <c r="AE26" i="1"/>
  <c r="K25" i="5"/>
  <c r="G32" i="5"/>
  <c r="Y25" i="4"/>
  <c r="W31" i="4"/>
  <c r="P27" i="3"/>
  <c r="U27" i="3" s="1"/>
  <c r="R24" i="6"/>
  <c r="K27" i="5"/>
  <c r="L27" i="5" s="1"/>
  <c r="AF26" i="1"/>
  <c r="AF28" i="1" s="1"/>
  <c r="S28" i="1"/>
  <c r="T24" i="2"/>
  <c r="U24" i="2" s="1"/>
  <c r="AE30" i="1"/>
  <c r="Q25" i="8"/>
  <c r="W22" i="8"/>
  <c r="K29" i="5"/>
  <c r="L29" i="5"/>
  <c r="N31" i="1"/>
  <c r="P31" i="1" s="1"/>
  <c r="T31" i="1" s="1"/>
  <c r="U22" i="6"/>
  <c r="V22" i="6" s="1"/>
  <c r="S25" i="6"/>
  <c r="N23" i="2"/>
  <c r="L28" i="2"/>
  <c r="O23" i="2"/>
  <c r="AD24" i="8"/>
  <c r="W24" i="8"/>
  <c r="X24" i="8" s="1"/>
  <c r="Z24" i="8" s="1"/>
  <c r="Q26" i="3"/>
  <c r="W26" i="3" s="1"/>
  <c r="R22" i="8"/>
  <c r="K30" i="5"/>
  <c r="L30" i="5" s="1"/>
  <c r="G33" i="1"/>
  <c r="N30" i="1"/>
  <c r="N33" i="1" s="1"/>
  <c r="P27" i="2"/>
  <c r="X27" i="4"/>
  <c r="Z27" i="4" s="1"/>
  <c r="AC27" i="4"/>
  <c r="R22" i="6"/>
  <c r="O23" i="3"/>
  <c r="AF28" i="4"/>
  <c r="Z26" i="1"/>
  <c r="Z28" i="1" s="1"/>
  <c r="X28" i="1"/>
  <c r="R24" i="8"/>
  <c r="Z21" i="9"/>
  <c r="S25" i="7"/>
  <c r="U22" i="7"/>
  <c r="N32" i="1"/>
  <c r="S24" i="9" l="1"/>
  <c r="N24" i="9"/>
  <c r="P24" i="9"/>
  <c r="N30" i="5"/>
  <c r="V30" i="5" s="1"/>
  <c r="N27" i="5"/>
  <c r="V27" i="5" s="1"/>
  <c r="AB27" i="3"/>
  <c r="Y27" i="3"/>
  <c r="J27" i="6"/>
  <c r="K27" i="6" s="1"/>
  <c r="J26" i="6"/>
  <c r="Q32" i="1"/>
  <c r="N26" i="5"/>
  <c r="V26" i="5" s="1"/>
  <c r="Y22" i="6"/>
  <c r="V25" i="6"/>
  <c r="X24" i="2"/>
  <c r="AB24" i="2"/>
  <c r="N28" i="5"/>
  <c r="V28" i="5" s="1"/>
  <c r="O28" i="5"/>
  <c r="V31" i="1"/>
  <c r="W31" i="1"/>
  <c r="Y31" i="1" s="1"/>
  <c r="Q25" i="2"/>
  <c r="U25" i="2"/>
  <c r="W25" i="6"/>
  <c r="X22" i="6"/>
  <c r="M27" i="7"/>
  <c r="P27" i="7" s="1"/>
  <c r="Z31" i="4"/>
  <c r="AG26" i="4"/>
  <c r="AA26" i="4"/>
  <c r="AE26" i="4" s="1"/>
  <c r="U25" i="7"/>
  <c r="J27" i="7"/>
  <c r="K27" i="7" s="1"/>
  <c r="J26" i="7"/>
  <c r="X31" i="4"/>
  <c r="V22" i="7"/>
  <c r="G33" i="4"/>
  <c r="G35" i="4"/>
  <c r="G36" i="4"/>
  <c r="G34" i="4"/>
  <c r="G37" i="4"/>
  <c r="R25" i="8"/>
  <c r="AA22" i="8"/>
  <c r="X22" i="8"/>
  <c r="W25" i="8"/>
  <c r="K32" i="5"/>
  <c r="U25" i="6"/>
  <c r="M26" i="7"/>
  <c r="F28" i="7"/>
  <c r="N29" i="5"/>
  <c r="V29" i="5" s="1"/>
  <c r="O29" i="5"/>
  <c r="S23" i="3"/>
  <c r="U23" i="3" s="1"/>
  <c r="O28" i="3"/>
  <c r="AD25" i="8"/>
  <c r="AG31" i="4"/>
  <c r="AF31" i="4" s="1"/>
  <c r="AF25" i="4"/>
  <c r="AN13" i="4"/>
  <c r="K33" i="1"/>
  <c r="L30" i="1"/>
  <c r="L33" i="1" s="1"/>
  <c r="AC23" i="9"/>
  <c r="Q23" i="9"/>
  <c r="Q31" i="1"/>
  <c r="U26" i="3"/>
  <c r="F27" i="8"/>
  <c r="F26" i="8"/>
  <c r="AA31" i="4"/>
  <c r="AE31" i="4" s="1"/>
  <c r="AE25" i="4"/>
  <c r="U23" i="9"/>
  <c r="V23" i="9"/>
  <c r="Y23" i="9" s="1"/>
  <c r="AA22" i="6"/>
  <c r="R25" i="6"/>
  <c r="O28" i="2"/>
  <c r="U23" i="2"/>
  <c r="S23" i="2"/>
  <c r="Y31" i="4"/>
  <c r="S31" i="4"/>
  <c r="T24" i="3"/>
  <c r="U24" i="3" s="1"/>
  <c r="U26" i="2"/>
  <c r="P32" i="1"/>
  <c r="T32" i="1" s="1"/>
  <c r="K25" i="9"/>
  <c r="Q25" i="3"/>
  <c r="W22" i="7"/>
  <c r="Q25" i="7"/>
  <c r="P30" i="1"/>
  <c r="P28" i="3"/>
  <c r="W27" i="3"/>
  <c r="AC31" i="4"/>
  <c r="W27" i="2"/>
  <c r="P28" i="2"/>
  <c r="N28" i="2"/>
  <c r="V23" i="2"/>
  <c r="V28" i="2" s="1"/>
  <c r="L25" i="5"/>
  <c r="M27" i="6"/>
  <c r="O27" i="6"/>
  <c r="O27" i="7" s="1"/>
  <c r="T28" i="2"/>
  <c r="T41" i="2" s="1"/>
  <c r="W24" i="2"/>
  <c r="U27" i="2"/>
  <c r="R22" i="7"/>
  <c r="F28" i="6"/>
  <c r="M26" i="6"/>
  <c r="X23" i="3" l="1"/>
  <c r="AB23" i="3"/>
  <c r="AB24" i="3"/>
  <c r="X24" i="3"/>
  <c r="AC27" i="7"/>
  <c r="Q27" i="7"/>
  <c r="R27" i="7" s="1"/>
  <c r="Q28" i="3"/>
  <c r="Q41" i="3" s="1"/>
  <c r="W25" i="3"/>
  <c r="N27" i="7"/>
  <c r="S27" i="7"/>
  <c r="U25" i="3"/>
  <c r="O22" i="9"/>
  <c r="Y25" i="6"/>
  <c r="O26" i="5"/>
  <c r="O26" i="6"/>
  <c r="P26" i="6" s="1"/>
  <c r="J26" i="8"/>
  <c r="J27" i="8"/>
  <c r="K27" i="8" s="1"/>
  <c r="J28" i="7"/>
  <c r="K26" i="7"/>
  <c r="M28" i="7"/>
  <c r="N36" i="4"/>
  <c r="P36" i="4" s="1"/>
  <c r="T36" i="4" s="1"/>
  <c r="Y22" i="7"/>
  <c r="V25" i="7"/>
  <c r="K33" i="4"/>
  <c r="K35" i="4"/>
  <c r="L35" i="4" s="1"/>
  <c r="K37" i="4"/>
  <c r="K34" i="4"/>
  <c r="M34" i="4" s="1"/>
  <c r="K36" i="4"/>
  <c r="M36" i="4" s="1"/>
  <c r="AB26" i="2"/>
  <c r="Y26" i="2"/>
  <c r="Y28" i="2" s="1"/>
  <c r="N34" i="4"/>
  <c r="P34" i="4"/>
  <c r="T34" i="4" s="1"/>
  <c r="Q34" i="4"/>
  <c r="P27" i="6"/>
  <c r="O27" i="5"/>
  <c r="Z22" i="8"/>
  <c r="X25" i="8"/>
  <c r="AC25" i="9"/>
  <c r="W25" i="7"/>
  <c r="X22" i="7"/>
  <c r="S28" i="3"/>
  <c r="S41" i="3" s="1"/>
  <c r="W23" i="3"/>
  <c r="P29" i="5"/>
  <c r="O30" i="5"/>
  <c r="R32" i="1"/>
  <c r="X32" i="1" s="1"/>
  <c r="X25" i="6"/>
  <c r="Z22" i="6"/>
  <c r="V32" i="1"/>
  <c r="Z32" i="1" s="1"/>
  <c r="Q28" i="2"/>
  <c r="Q41" i="2" s="1"/>
  <c r="W25" i="2"/>
  <c r="T28" i="3"/>
  <c r="T41" i="3" s="1"/>
  <c r="W24" i="3"/>
  <c r="F28" i="8"/>
  <c r="AC24" i="9"/>
  <c r="Q24" i="9"/>
  <c r="R24" i="9" s="1"/>
  <c r="AB23" i="2"/>
  <c r="X23" i="2"/>
  <c r="U28" i="2"/>
  <c r="N35" i="4"/>
  <c r="Q35" i="4" s="1"/>
  <c r="P35" i="4"/>
  <c r="T35" i="4" s="1"/>
  <c r="M27" i="9"/>
  <c r="M27" i="8"/>
  <c r="L27" i="8" s="1"/>
  <c r="G38" i="4"/>
  <c r="N33" i="4"/>
  <c r="G41" i="4"/>
  <c r="L32" i="5"/>
  <c r="N25" i="5"/>
  <c r="O25" i="5" s="1"/>
  <c r="AB22" i="6"/>
  <c r="AA25" i="6"/>
  <c r="AB25" i="6"/>
  <c r="J28" i="6"/>
  <c r="K26" i="6"/>
  <c r="M26" i="9"/>
  <c r="M28" i="6"/>
  <c r="M26" i="8"/>
  <c r="X25" i="2"/>
  <c r="AB25" i="2"/>
  <c r="AB22" i="8"/>
  <c r="AA25" i="8"/>
  <c r="AB25" i="8"/>
  <c r="AB27" i="2"/>
  <c r="Y27" i="2"/>
  <c r="AB31" i="1"/>
  <c r="R31" i="1"/>
  <c r="AF26" i="4"/>
  <c r="AN17" i="4"/>
  <c r="T30" i="1"/>
  <c r="P33" i="1"/>
  <c r="AD23" i="9"/>
  <c r="W23" i="9"/>
  <c r="X23" i="9" s="1"/>
  <c r="Z23" i="9" s="1"/>
  <c r="Q30" i="1"/>
  <c r="Q28" i="5"/>
  <c r="W28" i="5" s="1"/>
  <c r="AA22" i="7"/>
  <c r="R25" i="7"/>
  <c r="AB26" i="3"/>
  <c r="Y26" i="3"/>
  <c r="Y28" i="3" s="1"/>
  <c r="S28" i="2"/>
  <c r="S41" i="2" s="1"/>
  <c r="W23" i="2"/>
  <c r="R23" i="9"/>
  <c r="U24" i="9"/>
  <c r="V24" i="9" s="1"/>
  <c r="Y24" i="9" s="1"/>
  <c r="S26" i="6" l="1"/>
  <c r="P28" i="6"/>
  <c r="Q26" i="6"/>
  <c r="V36" i="4"/>
  <c r="W36" i="4" s="1"/>
  <c r="Y36" i="4" s="1"/>
  <c r="R35" i="4"/>
  <c r="X35" i="4" s="1"/>
  <c r="O32" i="5"/>
  <c r="S25" i="5"/>
  <c r="U27" i="7"/>
  <c r="V27" i="7" s="1"/>
  <c r="Y27" i="7" s="1"/>
  <c r="AA25" i="7"/>
  <c r="AB22" i="7"/>
  <c r="AB25" i="7"/>
  <c r="Y25" i="7"/>
  <c r="W35" i="4"/>
  <c r="Y35" i="4" s="1"/>
  <c r="V35" i="4"/>
  <c r="Z35" i="4" s="1"/>
  <c r="Q36" i="4"/>
  <c r="X28" i="2"/>
  <c r="Z24" i="2"/>
  <c r="Z23" i="2"/>
  <c r="Z25" i="2"/>
  <c r="Z27" i="2"/>
  <c r="Z26" i="2"/>
  <c r="L27" i="9"/>
  <c r="AC27" i="6"/>
  <c r="S27" i="6"/>
  <c r="Q27" i="6"/>
  <c r="Z22" i="7"/>
  <c r="X25" i="7"/>
  <c r="V34" i="4"/>
  <c r="F27" i="9"/>
  <c r="F26" i="9"/>
  <c r="AD25" i="9"/>
  <c r="K28" i="7"/>
  <c r="AC28" i="7"/>
  <c r="W32" i="1"/>
  <c r="Y32" i="1" s="1"/>
  <c r="S22" i="9"/>
  <c r="N22" i="9"/>
  <c r="O25" i="9"/>
  <c r="P22" i="9"/>
  <c r="R34" i="4"/>
  <c r="X34" i="4" s="1"/>
  <c r="U28" i="5"/>
  <c r="N27" i="8"/>
  <c r="V30" i="1"/>
  <c r="W30" i="1" s="1"/>
  <c r="T33" i="1"/>
  <c r="M28" i="8"/>
  <c r="L26" i="8"/>
  <c r="S32" i="1"/>
  <c r="M38" i="4"/>
  <c r="M41" i="4"/>
  <c r="Z25" i="6"/>
  <c r="V25" i="5"/>
  <c r="N32" i="5"/>
  <c r="AC31" i="1"/>
  <c r="X31" i="1"/>
  <c r="Z31" i="1" s="1"/>
  <c r="P30" i="5"/>
  <c r="W30" i="5" s="1"/>
  <c r="U30" i="5"/>
  <c r="Z25" i="8"/>
  <c r="J28" i="8"/>
  <c r="K26" i="8"/>
  <c r="AB25" i="3"/>
  <c r="AB28" i="3" s="1"/>
  <c r="X25" i="3"/>
  <c r="G31" i="2"/>
  <c r="G30" i="2"/>
  <c r="M28" i="9"/>
  <c r="W29" i="5"/>
  <c r="P32" i="5"/>
  <c r="O26" i="7"/>
  <c r="O28" i="6"/>
  <c r="U28" i="3"/>
  <c r="Q33" i="1"/>
  <c r="S30" i="1"/>
  <c r="R30" i="1"/>
  <c r="AB30" i="1"/>
  <c r="AB33" i="1" s="1"/>
  <c r="AD27" i="7"/>
  <c r="W27" i="7"/>
  <c r="X27" i="7" s="1"/>
  <c r="P27" i="8"/>
  <c r="AB28" i="2"/>
  <c r="AD24" i="9"/>
  <c r="W24" i="9"/>
  <c r="X24" i="9" s="1"/>
  <c r="Z24" i="9" s="1"/>
  <c r="N38" i="4"/>
  <c r="N41" i="4"/>
  <c r="W4" i="4" s="1"/>
  <c r="N26" i="8"/>
  <c r="U29" i="5"/>
  <c r="L33" i="4"/>
  <c r="K38" i="4"/>
  <c r="K41" i="4"/>
  <c r="U26" i="5"/>
  <c r="T26" i="5"/>
  <c r="W28" i="2"/>
  <c r="S31" i="1"/>
  <c r="AF31" i="1" s="1"/>
  <c r="G31" i="3"/>
  <c r="G30" i="3"/>
  <c r="P33" i="4"/>
  <c r="K28" i="6"/>
  <c r="Q33" i="4"/>
  <c r="P26" i="8"/>
  <c r="W28" i="3"/>
  <c r="Q27" i="5"/>
  <c r="U27" i="5"/>
  <c r="X28" i="3"/>
  <c r="Z27" i="3"/>
  <c r="Z23" i="3"/>
  <c r="Z24" i="3"/>
  <c r="Z26" i="3"/>
  <c r="Z25" i="3"/>
  <c r="Y30" i="1" l="1"/>
  <c r="Y33" i="1" s="1"/>
  <c r="W33" i="1"/>
  <c r="S33" i="1"/>
  <c r="AF30" i="1"/>
  <c r="AD27" i="6"/>
  <c r="W27" i="6"/>
  <c r="X27" i="6" s="1"/>
  <c r="AF32" i="1"/>
  <c r="AA32" i="1"/>
  <c r="W27" i="5"/>
  <c r="Q32" i="5"/>
  <c r="Q41" i="5"/>
  <c r="AC28" i="6"/>
  <c r="AC27" i="5"/>
  <c r="X27" i="5"/>
  <c r="Z27" i="5" s="1"/>
  <c r="S32" i="5"/>
  <c r="W25" i="5"/>
  <c r="S41" i="5"/>
  <c r="Z28" i="2"/>
  <c r="Q26" i="8"/>
  <c r="R26" i="8" s="1"/>
  <c r="P28" i="8"/>
  <c r="AC30" i="5"/>
  <c r="AA30" i="5" s="1"/>
  <c r="Y30" i="5"/>
  <c r="U25" i="5"/>
  <c r="S26" i="7"/>
  <c r="O28" i="7"/>
  <c r="N26" i="7"/>
  <c r="P26" i="7"/>
  <c r="S35" i="4"/>
  <c r="AG35" i="4" s="1"/>
  <c r="F29" i="7"/>
  <c r="F30" i="7"/>
  <c r="K28" i="8"/>
  <c r="Q38" i="4"/>
  <c r="R33" i="4"/>
  <c r="Q41" i="4"/>
  <c r="F28" i="9"/>
  <c r="R27" i="6"/>
  <c r="R36" i="4"/>
  <c r="X36" i="4" s="1"/>
  <c r="Z36" i="4" s="1"/>
  <c r="P38" i="4"/>
  <c r="T33" i="4"/>
  <c r="P41" i="4"/>
  <c r="K31" i="3"/>
  <c r="L31" i="3" s="1"/>
  <c r="AC27" i="8"/>
  <c r="R27" i="8"/>
  <c r="Q27" i="8"/>
  <c r="S34" i="4"/>
  <c r="Z34" i="4"/>
  <c r="U22" i="9"/>
  <c r="V22" i="9" s="1"/>
  <c r="S25" i="9"/>
  <c r="V33" i="1"/>
  <c r="Z30" i="1"/>
  <c r="Z33" i="1" s="1"/>
  <c r="J26" i="9"/>
  <c r="J27" i="9"/>
  <c r="K27" i="9" s="1"/>
  <c r="L26" i="9"/>
  <c r="Z27" i="7"/>
  <c r="V32" i="5"/>
  <c r="Q22" i="9"/>
  <c r="P25" i="9"/>
  <c r="W34" i="4"/>
  <c r="Y34" i="4" s="1"/>
  <c r="W26" i="6"/>
  <c r="Q28" i="6"/>
  <c r="X26" i="5"/>
  <c r="Z26" i="5" s="1"/>
  <c r="AC26" i="5"/>
  <c r="AA26" i="5" s="1"/>
  <c r="L38" i="4"/>
  <c r="L41" i="4"/>
  <c r="AC28" i="5"/>
  <c r="AA28" i="5" s="1"/>
  <c r="Y28" i="5"/>
  <c r="G32" i="3"/>
  <c r="K30" i="3"/>
  <c r="K32" i="3" s="1"/>
  <c r="AD28" i="7"/>
  <c r="K30" i="2"/>
  <c r="G32" i="2"/>
  <c r="R26" i="6"/>
  <c r="U27" i="6"/>
  <c r="V27" i="6" s="1"/>
  <c r="Y27" i="6" s="1"/>
  <c r="O27" i="9" s="1"/>
  <c r="Y29" i="5"/>
  <c r="AC29" i="5"/>
  <c r="AA29" i="5" s="1"/>
  <c r="Z28" i="3"/>
  <c r="G36" i="1"/>
  <c r="G35" i="1"/>
  <c r="G37" i="1"/>
  <c r="K31" i="2"/>
  <c r="L31" i="2" s="1"/>
  <c r="W26" i="5"/>
  <c r="T32" i="5"/>
  <c r="T41" i="5"/>
  <c r="R33" i="1"/>
  <c r="X30" i="1"/>
  <c r="X33" i="1" s="1"/>
  <c r="AC30" i="1"/>
  <c r="AC33" i="1" s="1"/>
  <c r="Z25" i="7"/>
  <c r="U26" i="6"/>
  <c r="S28" i="6"/>
  <c r="N31" i="2" l="1"/>
  <c r="V31" i="2" s="1"/>
  <c r="O31" i="2"/>
  <c r="S27" i="9"/>
  <c r="N27" i="9"/>
  <c r="P27" i="9"/>
  <c r="R28" i="8"/>
  <c r="AA26" i="8"/>
  <c r="Y22" i="9"/>
  <c r="V25" i="9"/>
  <c r="N31" i="3"/>
  <c r="V31" i="3" s="1"/>
  <c r="W33" i="4"/>
  <c r="T38" i="4"/>
  <c r="V33" i="4"/>
  <c r="T41" i="4"/>
  <c r="R38" i="4"/>
  <c r="X33" i="4"/>
  <c r="R41" i="4"/>
  <c r="N37" i="1"/>
  <c r="N35" i="1"/>
  <c r="N38" i="1" s="1"/>
  <c r="G38" i="1"/>
  <c r="U28" i="6"/>
  <c r="U32" i="5"/>
  <c r="X25" i="5"/>
  <c r="AC25" i="5"/>
  <c r="AA33" i="1"/>
  <c r="AE32" i="1"/>
  <c r="AE33" i="1"/>
  <c r="L30" i="3"/>
  <c r="Q25" i="9"/>
  <c r="W22" i="9"/>
  <c r="S36" i="4"/>
  <c r="AG36" i="4" s="1"/>
  <c r="F31" i="7"/>
  <c r="M29" i="7"/>
  <c r="W26" i="8"/>
  <c r="Q28" i="8"/>
  <c r="AF35" i="4"/>
  <c r="AN15" i="4"/>
  <c r="Z27" i="6"/>
  <c r="V26" i="6"/>
  <c r="Y32" i="5"/>
  <c r="Y41" i="5"/>
  <c r="AG34" i="4"/>
  <c r="AF34" i="4" s="1"/>
  <c r="AA34" i="4"/>
  <c r="AE34" i="4" s="1"/>
  <c r="AD28" i="6"/>
  <c r="K32" i="2"/>
  <c r="L30" i="2"/>
  <c r="S33" i="4"/>
  <c r="J29" i="7"/>
  <c r="J30" i="7"/>
  <c r="K30" i="7" s="1"/>
  <c r="W27" i="8"/>
  <c r="X27" i="8" s="1"/>
  <c r="Z27" i="8" s="1"/>
  <c r="AD27" i="8"/>
  <c r="Q26" i="7"/>
  <c r="R26" i="7" s="1"/>
  <c r="P28" i="7"/>
  <c r="AF33" i="1"/>
  <c r="M30" i="7"/>
  <c r="K36" i="1"/>
  <c r="L36" i="1" s="1"/>
  <c r="K37" i="1"/>
  <c r="M37" i="1" s="1"/>
  <c r="M38" i="1" s="1"/>
  <c r="K35" i="1"/>
  <c r="J28" i="9"/>
  <c r="K26" i="9"/>
  <c r="F30" i="6"/>
  <c r="F29" i="6"/>
  <c r="R22" i="9"/>
  <c r="AC28" i="8"/>
  <c r="W32" i="5"/>
  <c r="W28" i="6"/>
  <c r="X26" i="6"/>
  <c r="N36" i="1"/>
  <c r="Q36" i="1" s="1"/>
  <c r="P36" i="1"/>
  <c r="T36" i="1" s="1"/>
  <c r="U25" i="9"/>
  <c r="AA26" i="6"/>
  <c r="R28" i="6"/>
  <c r="U26" i="7"/>
  <c r="V26" i="7" s="1"/>
  <c r="S28" i="7"/>
  <c r="AA27" i="5"/>
  <c r="AJ14" i="5"/>
  <c r="Y26" i="7" l="1"/>
  <c r="V28" i="7"/>
  <c r="R36" i="1"/>
  <c r="X36" i="1" s="1"/>
  <c r="R28" i="7"/>
  <c r="AA26" i="7"/>
  <c r="M31" i="7"/>
  <c r="F31" i="6"/>
  <c r="M29" i="6"/>
  <c r="M30" i="6"/>
  <c r="O30" i="6"/>
  <c r="O30" i="7" s="1"/>
  <c r="Y33" i="4"/>
  <c r="W38" i="4"/>
  <c r="W41" i="4"/>
  <c r="J29" i="6"/>
  <c r="J30" i="6"/>
  <c r="K30" i="6" s="1"/>
  <c r="R25" i="9"/>
  <c r="AA22" i="9"/>
  <c r="AB26" i="6"/>
  <c r="AA28" i="6"/>
  <c r="AB28" i="6"/>
  <c r="L32" i="3"/>
  <c r="O30" i="3"/>
  <c r="N30" i="3"/>
  <c r="X38" i="4"/>
  <c r="X41" i="4"/>
  <c r="F30" i="8"/>
  <c r="F29" i="8"/>
  <c r="AF36" i="4"/>
  <c r="AN16" i="4"/>
  <c r="P35" i="1"/>
  <c r="Q28" i="7"/>
  <c r="W26" i="7"/>
  <c r="V28" i="6"/>
  <c r="Y26" i="6"/>
  <c r="Y25" i="9"/>
  <c r="AB26" i="8"/>
  <c r="AA28" i="8"/>
  <c r="AB28" i="8"/>
  <c r="Q27" i="9"/>
  <c r="AC27" i="9"/>
  <c r="AE35" i="1"/>
  <c r="AD28" i="8"/>
  <c r="V36" i="1"/>
  <c r="Z36" i="1" s="1"/>
  <c r="U27" i="9"/>
  <c r="V27" i="9" s="1"/>
  <c r="Y27" i="9" s="1"/>
  <c r="U28" i="7"/>
  <c r="K38" i="1"/>
  <c r="L35" i="1"/>
  <c r="L38" i="1" s="1"/>
  <c r="J31" i="7"/>
  <c r="K29" i="7"/>
  <c r="W28" i="8"/>
  <c r="X26" i="8"/>
  <c r="N30" i="2"/>
  <c r="L32" i="2"/>
  <c r="Z33" i="4"/>
  <c r="V38" i="4"/>
  <c r="V41" i="4"/>
  <c r="P31" i="2"/>
  <c r="O31" i="3"/>
  <c r="W25" i="9"/>
  <c r="X22" i="9"/>
  <c r="G35" i="5"/>
  <c r="G38" i="5"/>
  <c r="G34" i="5"/>
  <c r="G37" i="5"/>
  <c r="G36" i="5"/>
  <c r="K28" i="9"/>
  <c r="P37" i="1"/>
  <c r="T37" i="1" s="1"/>
  <c r="Z26" i="6"/>
  <c r="X28" i="6"/>
  <c r="AA33" i="4"/>
  <c r="S38" i="4"/>
  <c r="AG33" i="4"/>
  <c r="S41" i="4"/>
  <c r="AC32" i="5"/>
  <c r="AA32" i="5" s="1"/>
  <c r="AA25" i="5"/>
  <c r="AJ12" i="5"/>
  <c r="X32" i="5"/>
  <c r="Z32" i="5" s="1"/>
  <c r="Z25" i="5"/>
  <c r="M29" i="9" l="1"/>
  <c r="M29" i="8"/>
  <c r="M31" i="6"/>
  <c r="AA38" i="4"/>
  <c r="AE38" i="4" s="1"/>
  <c r="AE33" i="4"/>
  <c r="AA41" i="4"/>
  <c r="AA25" i="9"/>
  <c r="AB22" i="9"/>
  <c r="AB25" i="9"/>
  <c r="O29" i="6"/>
  <c r="AB26" i="7"/>
  <c r="AA28" i="7"/>
  <c r="AB28" i="7"/>
  <c r="X25" i="9"/>
  <c r="Z22" i="9"/>
  <c r="P31" i="3"/>
  <c r="U31" i="3" s="1"/>
  <c r="P29" i="8"/>
  <c r="N29" i="8"/>
  <c r="F31" i="8"/>
  <c r="AD27" i="9"/>
  <c r="W27" i="9"/>
  <c r="X27" i="9" s="1"/>
  <c r="Z27" i="9" s="1"/>
  <c r="P32" i="2"/>
  <c r="W31" i="2"/>
  <c r="Z28" i="6"/>
  <c r="V37" i="1"/>
  <c r="W37" i="1" s="1"/>
  <c r="Y37" i="1" s="1"/>
  <c r="T35" i="1"/>
  <c r="P38" i="1"/>
  <c r="R27" i="9"/>
  <c r="V30" i="3"/>
  <c r="V32" i="3" s="1"/>
  <c r="N32" i="3"/>
  <c r="Y38" i="4"/>
  <c r="Y41" i="4"/>
  <c r="W8" i="4" s="1"/>
  <c r="S36" i="1"/>
  <c r="P29" i="6"/>
  <c r="W28" i="7"/>
  <c r="X26" i="7"/>
  <c r="U31" i="2"/>
  <c r="Z38" i="4"/>
  <c r="Z41" i="4"/>
  <c r="S30" i="7"/>
  <c r="N30" i="7"/>
  <c r="P30" i="7"/>
  <c r="K34" i="5"/>
  <c r="G39" i="5"/>
  <c r="G41" i="5"/>
  <c r="X28" i="8"/>
  <c r="Z26" i="8"/>
  <c r="AC28" i="9"/>
  <c r="W36" i="1"/>
  <c r="Y36" i="1" s="1"/>
  <c r="P30" i="6"/>
  <c r="K35" i="5"/>
  <c r="L35" i="5" s="1"/>
  <c r="K36" i="5"/>
  <c r="L36" i="5" s="1"/>
  <c r="N32" i="2"/>
  <c r="V30" i="2"/>
  <c r="V32" i="2" s="1"/>
  <c r="M30" i="8"/>
  <c r="L30" i="8" s="1"/>
  <c r="M30" i="9"/>
  <c r="Y28" i="7"/>
  <c r="AG38" i="4"/>
  <c r="AF38" i="4" s="1"/>
  <c r="AN14" i="4"/>
  <c r="AF33" i="4"/>
  <c r="AG41" i="4"/>
  <c r="K31" i="7"/>
  <c r="J31" i="6"/>
  <c r="K29" i="6"/>
  <c r="S9" i="4"/>
  <c r="S8" i="4"/>
  <c r="R30" i="3"/>
  <c r="U30" i="3" s="1"/>
  <c r="O32" i="3"/>
  <c r="Q35" i="1"/>
  <c r="K37" i="5"/>
  <c r="L37" i="5" s="1"/>
  <c r="O30" i="2"/>
  <c r="J29" i="8"/>
  <c r="J30" i="8"/>
  <c r="K30" i="8" s="1"/>
  <c r="O26" i="9"/>
  <c r="Y28" i="6"/>
  <c r="Q37" i="1"/>
  <c r="N36" i="5" l="1"/>
  <c r="V36" i="5" s="1"/>
  <c r="AB31" i="3"/>
  <c r="Y31" i="3"/>
  <c r="Y32" i="3" s="1"/>
  <c r="N37" i="5"/>
  <c r="V37" i="5" s="1"/>
  <c r="U32" i="3"/>
  <c r="X30" i="3"/>
  <c r="AB30" i="3"/>
  <c r="AB32" i="3" s="1"/>
  <c r="N35" i="5"/>
  <c r="V35" i="5" s="1"/>
  <c r="P31" i="6"/>
  <c r="S29" i="6"/>
  <c r="R29" i="6"/>
  <c r="Q29" i="6"/>
  <c r="R37" i="1"/>
  <c r="X37" i="1" s="1"/>
  <c r="K31" i="6"/>
  <c r="Z28" i="8"/>
  <c r="U30" i="7"/>
  <c r="V30" i="7" s="1"/>
  <c r="Y30" i="7" s="1"/>
  <c r="Z25" i="9"/>
  <c r="K39" i="5"/>
  <c r="K41" i="5"/>
  <c r="S7" i="4"/>
  <c r="S6" i="4"/>
  <c r="W5" i="4"/>
  <c r="AE41" i="4"/>
  <c r="W6" i="4" s="1"/>
  <c r="AD28" i="9"/>
  <c r="Q30" i="7"/>
  <c r="R30" i="7"/>
  <c r="AC30" i="7"/>
  <c r="S26" i="9"/>
  <c r="O28" i="9"/>
  <c r="N26" i="9"/>
  <c r="P26" i="9"/>
  <c r="T38" i="1"/>
  <c r="W35" i="1"/>
  <c r="V35" i="1"/>
  <c r="J31" i="8"/>
  <c r="K29" i="8"/>
  <c r="R29" i="8"/>
  <c r="Q29" i="8"/>
  <c r="N30" i="8"/>
  <c r="P32" i="3"/>
  <c r="W31" i="3"/>
  <c r="Q30" i="6"/>
  <c r="R30" i="6" s="1"/>
  <c r="AC30" i="6"/>
  <c r="S30" i="6"/>
  <c r="AA36" i="1"/>
  <c r="AF36" i="1"/>
  <c r="L34" i="5"/>
  <c r="AI33" i="4"/>
  <c r="AI34" i="4"/>
  <c r="AI28" i="4"/>
  <c r="AI26" i="4"/>
  <c r="AI20" i="4"/>
  <c r="AI18" i="4"/>
  <c r="AL12" i="4"/>
  <c r="AM12" i="4" s="1"/>
  <c r="AO12" i="4" s="1"/>
  <c r="AD41" i="4"/>
  <c r="AI12" i="4"/>
  <c r="AL13" i="4"/>
  <c r="AM13" i="4" s="1"/>
  <c r="AO13" i="4" s="1"/>
  <c r="AL16" i="4"/>
  <c r="AM16" i="4" s="1"/>
  <c r="AO16" i="4" s="1"/>
  <c r="AI13" i="4"/>
  <c r="AI27" i="4"/>
  <c r="AI25" i="4"/>
  <c r="AL14" i="4"/>
  <c r="AM14" i="4" s="1"/>
  <c r="AO14" i="4" s="1"/>
  <c r="S5" i="4"/>
  <c r="W9" i="4" s="1"/>
  <c r="AI21" i="4"/>
  <c r="S4" i="4"/>
  <c r="AI35" i="4"/>
  <c r="AL17" i="4"/>
  <c r="AM17" i="4" s="1"/>
  <c r="AO17" i="4" s="1"/>
  <c r="AL15" i="4"/>
  <c r="AM15" i="4" s="1"/>
  <c r="AO15" i="4" s="1"/>
  <c r="AI29" i="4"/>
  <c r="AI19" i="4"/>
  <c r="AI14" i="4"/>
  <c r="AI17" i="4"/>
  <c r="AI36" i="4"/>
  <c r="AF41" i="4"/>
  <c r="W7" i="4" s="1"/>
  <c r="R35" i="1"/>
  <c r="S35" i="1" s="1"/>
  <c r="Q38" i="1"/>
  <c r="AB35" i="1"/>
  <c r="AB38" i="1" s="1"/>
  <c r="F30" i="9"/>
  <c r="F29" i="9"/>
  <c r="X28" i="7"/>
  <c r="Z26" i="7"/>
  <c r="L29" i="8"/>
  <c r="M31" i="8"/>
  <c r="R32" i="3"/>
  <c r="W30" i="3"/>
  <c r="W32" i="3" s="1"/>
  <c r="O31" i="6"/>
  <c r="O29" i="7"/>
  <c r="Z37" i="1"/>
  <c r="O32" i="2"/>
  <c r="R30" i="2"/>
  <c r="U30" i="2"/>
  <c r="Y31" i="2"/>
  <c r="Y32" i="2" s="1"/>
  <c r="AB31" i="2"/>
  <c r="P30" i="8"/>
  <c r="P31" i="8" s="1"/>
  <c r="L30" i="9"/>
  <c r="M31" i="9"/>
  <c r="L29" i="9"/>
  <c r="AF35" i="1" l="1"/>
  <c r="U30" i="6"/>
  <c r="V30" i="6" s="1"/>
  <c r="Y30" i="6" s="1"/>
  <c r="O30" i="9" s="1"/>
  <c r="AB41" i="5"/>
  <c r="W9" i="5"/>
  <c r="S9" i="5"/>
  <c r="W29" i="6"/>
  <c r="Q31" i="6"/>
  <c r="S31" i="6"/>
  <c r="U29" i="6"/>
  <c r="V29" i="6"/>
  <c r="W38" i="1"/>
  <c r="Y35" i="1"/>
  <c r="Y38" i="1" s="1"/>
  <c r="O35" i="5"/>
  <c r="X32" i="3"/>
  <c r="Z31" i="3"/>
  <c r="Z30" i="3"/>
  <c r="AC31" i="6"/>
  <c r="F32" i="6" s="1"/>
  <c r="AC34" i="6"/>
  <c r="W29" i="8"/>
  <c r="AD30" i="7"/>
  <c r="W30" i="7"/>
  <c r="X30" i="7" s="1"/>
  <c r="Z30" i="7" s="1"/>
  <c r="AA29" i="6"/>
  <c r="R31" i="6"/>
  <c r="AC31" i="7"/>
  <c r="F32" i="7" s="1"/>
  <c r="AC34" i="7"/>
  <c r="AA29" i="8"/>
  <c r="AE36" i="1"/>
  <c r="Q26" i="9"/>
  <c r="R26" i="9"/>
  <c r="P28" i="9"/>
  <c r="G35" i="2"/>
  <c r="G34" i="2"/>
  <c r="Z28" i="7"/>
  <c r="O37" i="5"/>
  <c r="O31" i="7"/>
  <c r="S29" i="7"/>
  <c r="N29" i="7"/>
  <c r="P29" i="7"/>
  <c r="J29" i="9"/>
  <c r="J30" i="9"/>
  <c r="K30" i="9" s="1"/>
  <c r="G34" i="3"/>
  <c r="G35" i="3"/>
  <c r="U32" i="2"/>
  <c r="AB30" i="2"/>
  <c r="AB32" i="2" s="1"/>
  <c r="X30" i="2"/>
  <c r="R32" i="2"/>
  <c r="W30" i="2"/>
  <c r="W32" i="2" s="1"/>
  <c r="F31" i="9"/>
  <c r="K31" i="8"/>
  <c r="Q30" i="8"/>
  <c r="AC30" i="8"/>
  <c r="N34" i="5"/>
  <c r="O34" i="5" s="1"/>
  <c r="L39" i="5"/>
  <c r="L41" i="5"/>
  <c r="S37" i="1"/>
  <c r="R38" i="1"/>
  <c r="X35" i="1"/>
  <c r="X38" i="1" s="1"/>
  <c r="AC35" i="1"/>
  <c r="AC38" i="1" s="1"/>
  <c r="AD30" i="6"/>
  <c r="W30" i="6"/>
  <c r="X30" i="6" s="1"/>
  <c r="Z30" i="6" s="1"/>
  <c r="V26" i="9"/>
  <c r="U26" i="9"/>
  <c r="S28" i="9"/>
  <c r="G41" i="1"/>
  <c r="G40" i="1"/>
  <c r="AB44" i="1"/>
  <c r="V38" i="1"/>
  <c r="O36" i="5"/>
  <c r="R34" i="5" l="1"/>
  <c r="O39" i="5"/>
  <c r="U34" i="5"/>
  <c r="O41" i="5"/>
  <c r="S30" i="9"/>
  <c r="N30" i="9"/>
  <c r="P30" i="9"/>
  <c r="N41" i="1"/>
  <c r="P41" i="1" s="1"/>
  <c r="T41" i="1" s="1"/>
  <c r="G36" i="3"/>
  <c r="K34" i="3"/>
  <c r="K36" i="3" s="1"/>
  <c r="R28" i="9"/>
  <c r="AA26" i="9"/>
  <c r="W31" i="6"/>
  <c r="X29" i="6"/>
  <c r="AC31" i="8"/>
  <c r="F32" i="8" s="1"/>
  <c r="AC34" i="8"/>
  <c r="K35" i="3"/>
  <c r="L35" i="3" s="1"/>
  <c r="V31" i="6"/>
  <c r="Y29" i="6"/>
  <c r="J31" i="9"/>
  <c r="K29" i="9"/>
  <c r="W30" i="8"/>
  <c r="X30" i="8" s="1"/>
  <c r="Z30" i="8" s="1"/>
  <c r="AD30" i="8"/>
  <c r="P37" i="5"/>
  <c r="W37" i="5" s="1"/>
  <c r="Z32" i="3"/>
  <c r="K35" i="2"/>
  <c r="L35" i="2"/>
  <c r="U31" i="6"/>
  <c r="R30" i="8"/>
  <c r="AF37" i="1"/>
  <c r="AA37" i="1"/>
  <c r="X32" i="2"/>
  <c r="Z31" i="2"/>
  <c r="Z30" i="2"/>
  <c r="F33" i="7"/>
  <c r="M32" i="7"/>
  <c r="F34" i="7"/>
  <c r="W31" i="8"/>
  <c r="X29" i="8"/>
  <c r="AD31" i="6"/>
  <c r="J32" i="6" s="1"/>
  <c r="AD34" i="6"/>
  <c r="R29" i="7"/>
  <c r="P31" i="7"/>
  <c r="Q29" i="7"/>
  <c r="AA31" i="8"/>
  <c r="AB29" i="8"/>
  <c r="AB31" i="8"/>
  <c r="R35" i="5"/>
  <c r="W35" i="5" s="1"/>
  <c r="AD31" i="7"/>
  <c r="J32" i="7" s="1"/>
  <c r="AD34" i="7"/>
  <c r="U28" i="9"/>
  <c r="W26" i="9"/>
  <c r="Q28" i="9"/>
  <c r="F33" i="6"/>
  <c r="M32" i="6"/>
  <c r="O32" i="6"/>
  <c r="F34" i="6"/>
  <c r="D48" i="6" s="1"/>
  <c r="V29" i="7"/>
  <c r="U29" i="7"/>
  <c r="S31" i="7"/>
  <c r="AF38" i="1"/>
  <c r="V28" i="9"/>
  <c r="Y26" i="9"/>
  <c r="Q31" i="8"/>
  <c r="K40" i="1"/>
  <c r="K41" i="1"/>
  <c r="M41" i="1" s="1"/>
  <c r="M42" i="1" s="1"/>
  <c r="M44" i="1" s="1"/>
  <c r="AC44" i="1"/>
  <c r="P36" i="5"/>
  <c r="Z35" i="1"/>
  <c r="Z38" i="1" s="1"/>
  <c r="N39" i="5"/>
  <c r="V34" i="5"/>
  <c r="N41" i="5"/>
  <c r="N40" i="1"/>
  <c r="N42" i="1" s="1"/>
  <c r="N44" i="1" s="1"/>
  <c r="G42" i="1"/>
  <c r="G44" i="1" s="1"/>
  <c r="P40" i="1"/>
  <c r="K34" i="2"/>
  <c r="G36" i="2"/>
  <c r="AA31" i="6"/>
  <c r="AB29" i="6"/>
  <c r="AB31" i="6"/>
  <c r="S38" i="1"/>
  <c r="V41" i="1" l="1"/>
  <c r="W41" i="1" s="1"/>
  <c r="Y41" i="1" s="1"/>
  <c r="N35" i="3"/>
  <c r="V35" i="3" s="1"/>
  <c r="AA28" i="9"/>
  <c r="AB26" i="9"/>
  <c r="AB28" i="9"/>
  <c r="AE37" i="1"/>
  <c r="AA38" i="1"/>
  <c r="Q30" i="9"/>
  <c r="R30" i="9" s="1"/>
  <c r="AC30" i="9"/>
  <c r="P42" i="1"/>
  <c r="P44" i="1" s="1"/>
  <c r="T40" i="1"/>
  <c r="Q40" i="1"/>
  <c r="J33" i="6"/>
  <c r="K32" i="6"/>
  <c r="J34" i="6"/>
  <c r="U35" i="5"/>
  <c r="W36" i="5"/>
  <c r="P39" i="5"/>
  <c r="P41" i="5"/>
  <c r="U30" i="9"/>
  <c r="V30" i="9" s="1"/>
  <c r="Y30" i="9" s="1"/>
  <c r="W28" i="9"/>
  <c r="X26" i="9"/>
  <c r="L34" i="3"/>
  <c r="O29" i="9"/>
  <c r="Y31" i="6"/>
  <c r="Q41" i="1"/>
  <c r="M33" i="7"/>
  <c r="M34" i="7"/>
  <c r="U36" i="5"/>
  <c r="AC36" i="5" s="1"/>
  <c r="AA36" i="5" s="1"/>
  <c r="U37" i="5"/>
  <c r="AC37" i="5" s="1"/>
  <c r="AA37" i="5" s="1"/>
  <c r="P32" i="8"/>
  <c r="F33" i="8"/>
  <c r="N32" i="8"/>
  <c r="F34" i="8"/>
  <c r="Z32" i="2"/>
  <c r="J33" i="7"/>
  <c r="K32" i="7"/>
  <c r="J34" i="7"/>
  <c r="Y29" i="7"/>
  <c r="V31" i="7"/>
  <c r="AC34" i="5"/>
  <c r="X34" i="5"/>
  <c r="U41" i="5"/>
  <c r="AA29" i="7"/>
  <c r="R31" i="7"/>
  <c r="K31" i="9"/>
  <c r="V39" i="5"/>
  <c r="V41" i="5"/>
  <c r="W8" i="5" s="1"/>
  <c r="U31" i="7"/>
  <c r="O32" i="7"/>
  <c r="O33" i="6"/>
  <c r="O34" i="6"/>
  <c r="AD31" i="8"/>
  <c r="J32" i="8" s="1"/>
  <c r="AD34" i="8"/>
  <c r="R31" i="8"/>
  <c r="X31" i="8"/>
  <c r="Z29" i="8"/>
  <c r="N35" i="2"/>
  <c r="V35" i="2" s="1"/>
  <c r="O35" i="2"/>
  <c r="K42" i="1"/>
  <c r="K44" i="1" s="1"/>
  <c r="L40" i="1"/>
  <c r="L42" i="1" s="1"/>
  <c r="L44" i="1" s="1"/>
  <c r="M32" i="9"/>
  <c r="M32" i="8"/>
  <c r="M33" i="6"/>
  <c r="M34" i="6"/>
  <c r="P32" i="6"/>
  <c r="X31" i="6"/>
  <c r="Z29" i="6"/>
  <c r="K36" i="2"/>
  <c r="L34" i="2"/>
  <c r="Y28" i="9"/>
  <c r="W29" i="7"/>
  <c r="Q31" i="7"/>
  <c r="R39" i="5"/>
  <c r="W34" i="5"/>
  <c r="R41" i="5"/>
  <c r="X28" i="9" l="1"/>
  <c r="Z26" i="9"/>
  <c r="Z31" i="6"/>
  <c r="Q32" i="8"/>
  <c r="R32" i="8" s="1"/>
  <c r="P33" i="8"/>
  <c r="P34" i="8"/>
  <c r="D45" i="8" s="1"/>
  <c r="D43" i="6"/>
  <c r="P4" i="6"/>
  <c r="Z34" i="5"/>
  <c r="I6" i="8"/>
  <c r="Q32" i="6"/>
  <c r="P33" i="6"/>
  <c r="S32" i="6"/>
  <c r="R32" i="6"/>
  <c r="P34" i="6"/>
  <c r="D46" i="6" s="1"/>
  <c r="P6" i="6"/>
  <c r="D45" i="6"/>
  <c r="O35" i="3"/>
  <c r="W30" i="9"/>
  <c r="X30" i="9" s="1"/>
  <c r="Z30" i="9" s="1"/>
  <c r="AD30" i="9"/>
  <c r="Z31" i="8"/>
  <c r="AJ13" i="5"/>
  <c r="AC39" i="5"/>
  <c r="AA39" i="5" s="1"/>
  <c r="AA34" i="5"/>
  <c r="AC41" i="5"/>
  <c r="U39" i="5"/>
  <c r="V40" i="1"/>
  <c r="W40" i="1" s="1"/>
  <c r="T42" i="1"/>
  <c r="T44" i="1" s="1"/>
  <c r="L36" i="2"/>
  <c r="N34" i="2"/>
  <c r="AE38" i="1"/>
  <c r="J33" i="8"/>
  <c r="K32" i="8"/>
  <c r="J34" i="8"/>
  <c r="AC35" i="5"/>
  <c r="AA35" i="5" s="1"/>
  <c r="X35" i="5"/>
  <c r="Z35" i="5" s="1"/>
  <c r="L32" i="8"/>
  <c r="M33" i="8"/>
  <c r="M34" i="8"/>
  <c r="O33" i="7"/>
  <c r="S32" i="7"/>
  <c r="N32" i="7"/>
  <c r="O34" i="7"/>
  <c r="R41" i="1"/>
  <c r="X41" i="1" s="1"/>
  <c r="M33" i="9"/>
  <c r="M34" i="9"/>
  <c r="Y31" i="7"/>
  <c r="R40" i="1"/>
  <c r="S40" i="1" s="1"/>
  <c r="Q42" i="1"/>
  <c r="Q44" i="1" s="1"/>
  <c r="AB29" i="7"/>
  <c r="AA31" i="7"/>
  <c r="AB31" i="7"/>
  <c r="D42" i="7"/>
  <c r="P4" i="7"/>
  <c r="W39" i="5"/>
  <c r="W41" i="5"/>
  <c r="W6" i="5" s="1"/>
  <c r="K33" i="6"/>
  <c r="K34" i="6"/>
  <c r="O31" i="9"/>
  <c r="S29" i="9"/>
  <c r="N29" i="9"/>
  <c r="P29" i="9"/>
  <c r="Z41" i="1"/>
  <c r="W31" i="7"/>
  <c r="X29" i="7"/>
  <c r="P35" i="2"/>
  <c r="U35" i="2" s="1"/>
  <c r="K33" i="7"/>
  <c r="K34" i="7"/>
  <c r="N34" i="3"/>
  <c r="L36" i="3"/>
  <c r="AC31" i="9"/>
  <c r="F32" i="9" s="1"/>
  <c r="AC34" i="9"/>
  <c r="P32" i="7"/>
  <c r="W42" i="1" l="1"/>
  <c r="W44" i="1" s="1"/>
  <c r="Y40" i="1"/>
  <c r="Y42" i="1" s="1"/>
  <c r="Y44" i="1" s="1"/>
  <c r="AF40" i="1"/>
  <c r="AA40" i="1"/>
  <c r="Y35" i="2"/>
  <c r="Y36" i="2" s="1"/>
  <c r="AB35" i="2"/>
  <c r="AA32" i="8"/>
  <c r="R33" i="8"/>
  <c r="R34" i="8"/>
  <c r="D46" i="8" s="1"/>
  <c r="AE35" i="5"/>
  <c r="AE20" i="5"/>
  <c r="AH12" i="5"/>
  <c r="AI12" i="5" s="1"/>
  <c r="AK12" i="5" s="1"/>
  <c r="AE27" i="5"/>
  <c r="AE12" i="5"/>
  <c r="AE34" i="5"/>
  <c r="AE30" i="5"/>
  <c r="AE37" i="5"/>
  <c r="AE26" i="5"/>
  <c r="AE29" i="5"/>
  <c r="AE25" i="5"/>
  <c r="AE21" i="5"/>
  <c r="AH11" i="5"/>
  <c r="AI11" i="5" s="1"/>
  <c r="AK11" i="5" s="1"/>
  <c r="AE19" i="5"/>
  <c r="W5" i="5"/>
  <c r="AE36" i="5"/>
  <c r="AH13" i="5"/>
  <c r="AI13" i="5" s="1"/>
  <c r="AK13" i="5" s="1"/>
  <c r="W4" i="5"/>
  <c r="AE13" i="5"/>
  <c r="AE16" i="5"/>
  <c r="AH14" i="5"/>
  <c r="AI14" i="5" s="1"/>
  <c r="AK14" i="5" s="1"/>
  <c r="AE11" i="5"/>
  <c r="AE18" i="5"/>
  <c r="AE28" i="5"/>
  <c r="AE17" i="5"/>
  <c r="AA41" i="5"/>
  <c r="X41" i="5"/>
  <c r="X39" i="5"/>
  <c r="Z39" i="5" s="1"/>
  <c r="D42" i="9"/>
  <c r="P4" i="9"/>
  <c r="N36" i="3"/>
  <c r="V34" i="3"/>
  <c r="V36" i="3" s="1"/>
  <c r="F33" i="9"/>
  <c r="F34" i="9"/>
  <c r="D47" i="9" s="1"/>
  <c r="AD31" i="9"/>
  <c r="J32" i="9" s="1"/>
  <c r="AD34" i="9"/>
  <c r="U35" i="3"/>
  <c r="P35" i="3"/>
  <c r="N36" i="2"/>
  <c r="V34" i="2"/>
  <c r="V36" i="2" s="1"/>
  <c r="O34" i="2"/>
  <c r="K33" i="8"/>
  <c r="K34" i="8"/>
  <c r="P31" i="9"/>
  <c r="Q29" i="9"/>
  <c r="R29" i="9"/>
  <c r="S31" i="9"/>
  <c r="U29" i="9"/>
  <c r="L32" i="9"/>
  <c r="O34" i="3"/>
  <c r="W32" i="8"/>
  <c r="Q33" i="8"/>
  <c r="Q34" i="8"/>
  <c r="U32" i="6"/>
  <c r="S33" i="6"/>
  <c r="S34" i="6"/>
  <c r="Q32" i="7"/>
  <c r="R32" i="7"/>
  <c r="P33" i="7"/>
  <c r="P34" i="7"/>
  <c r="D45" i="7" s="1"/>
  <c r="S41" i="1"/>
  <c r="S42" i="1" s="1"/>
  <c r="S44" i="1" s="1"/>
  <c r="I6" i="7"/>
  <c r="P6" i="7"/>
  <c r="D44" i="7"/>
  <c r="Z28" i="9"/>
  <c r="X40" i="1"/>
  <c r="X42" i="1" s="1"/>
  <c r="X44" i="1" s="1"/>
  <c r="R42" i="1"/>
  <c r="R44" i="1" s="1"/>
  <c r="W35" i="2"/>
  <c r="P36" i="2"/>
  <c r="P41" i="2" s="1"/>
  <c r="R33" i="6"/>
  <c r="AA32" i="6"/>
  <c r="R34" i="6"/>
  <c r="D47" i="6" s="1"/>
  <c r="U32" i="7"/>
  <c r="S33" i="7"/>
  <c r="S34" i="7"/>
  <c r="V42" i="1"/>
  <c r="V44" i="1" s="1"/>
  <c r="Z29" i="7"/>
  <c r="X31" i="7"/>
  <c r="D42" i="8"/>
  <c r="P4" i="8"/>
  <c r="C4" i="8"/>
  <c r="Q33" i="6"/>
  <c r="W32" i="6"/>
  <c r="Q34" i="6"/>
  <c r="U31" i="9" l="1"/>
  <c r="J33" i="9"/>
  <c r="K32" i="9"/>
  <c r="J34" i="9"/>
  <c r="U33" i="7"/>
  <c r="U34" i="7"/>
  <c r="D47" i="7" s="1"/>
  <c r="AA33" i="8"/>
  <c r="AB32" i="8"/>
  <c r="AA34" i="8"/>
  <c r="AB34" i="8" s="1"/>
  <c r="AB33" i="8"/>
  <c r="W32" i="7"/>
  <c r="Q33" i="7"/>
  <c r="Q34" i="7"/>
  <c r="U33" i="6"/>
  <c r="U34" i="6"/>
  <c r="D49" i="6" s="1"/>
  <c r="V32" i="6"/>
  <c r="G38" i="2"/>
  <c r="Y41" i="2"/>
  <c r="AA32" i="7"/>
  <c r="R33" i="7"/>
  <c r="R34" i="7"/>
  <c r="D46" i="7" s="1"/>
  <c r="AB32" i="6"/>
  <c r="AA33" i="6"/>
  <c r="AA34" i="6"/>
  <c r="AB34" i="6" s="1"/>
  <c r="AB33" i="6"/>
  <c r="W33" i="6"/>
  <c r="X32" i="6"/>
  <c r="W34" i="6"/>
  <c r="D50" i="6" s="1"/>
  <c r="W29" i="9"/>
  <c r="Q31" i="9"/>
  <c r="O36" i="2"/>
  <c r="R34" i="2"/>
  <c r="U34" i="2" s="1"/>
  <c r="W7" i="5"/>
  <c r="Z41" i="5"/>
  <c r="AE40" i="1"/>
  <c r="AF42" i="1"/>
  <c r="AF44" i="1" s="1"/>
  <c r="V32" i="7"/>
  <c r="AA29" i="9"/>
  <c r="R31" i="9"/>
  <c r="Z31" i="7"/>
  <c r="W33" i="8"/>
  <c r="X32" i="8"/>
  <c r="W34" i="8"/>
  <c r="D48" i="8" s="1"/>
  <c r="P36" i="3"/>
  <c r="P41" i="3" s="1"/>
  <c r="W35" i="3"/>
  <c r="AF41" i="1"/>
  <c r="AA41" i="1"/>
  <c r="AE41" i="1" s="1"/>
  <c r="V29" i="9"/>
  <c r="C4" i="9"/>
  <c r="Z40" i="1"/>
  <c r="Z42" i="1" s="1"/>
  <c r="Z44" i="1" s="1"/>
  <c r="R34" i="3"/>
  <c r="O36" i="3"/>
  <c r="AB35" i="3"/>
  <c r="Y35" i="3"/>
  <c r="Y36" i="3" s="1"/>
  <c r="AB34" i="2" l="1"/>
  <c r="AB36" i="2" s="1"/>
  <c r="X34" i="2"/>
  <c r="U36" i="2"/>
  <c r="AC6" i="3"/>
  <c r="AC6" i="2"/>
  <c r="Z32" i="6"/>
  <c r="X33" i="6"/>
  <c r="X34" i="6"/>
  <c r="AA31" i="9"/>
  <c r="AB29" i="9"/>
  <c r="AB31" i="9"/>
  <c r="K33" i="9"/>
  <c r="K34" i="9"/>
  <c r="R36" i="3"/>
  <c r="W34" i="3"/>
  <c r="W36" i="3" s="1"/>
  <c r="U34" i="3"/>
  <c r="Y32" i="7"/>
  <c r="V33" i="7"/>
  <c r="V34" i="7"/>
  <c r="W31" i="9"/>
  <c r="X29" i="9"/>
  <c r="AH31" i="1"/>
  <c r="AH37" i="1"/>
  <c r="AH25" i="1"/>
  <c r="AH41" i="1"/>
  <c r="AH35" i="1"/>
  <c r="AH23" i="1"/>
  <c r="AH17" i="1"/>
  <c r="AH11" i="1"/>
  <c r="AH32" i="1"/>
  <c r="AH27" i="1"/>
  <c r="AH18" i="1"/>
  <c r="AH20" i="1"/>
  <c r="AH26" i="1"/>
  <c r="AH24" i="1"/>
  <c r="AH13" i="1"/>
  <c r="AH19" i="1"/>
  <c r="AH40" i="1"/>
  <c r="AH30" i="1"/>
  <c r="AH12" i="1"/>
  <c r="AH36" i="1"/>
  <c r="AH16" i="1"/>
  <c r="AA42" i="1"/>
  <c r="AA33" i="7"/>
  <c r="AB32" i="7"/>
  <c r="AA34" i="7"/>
  <c r="AB34" i="7" s="1"/>
  <c r="AB33" i="7"/>
  <c r="G39" i="2"/>
  <c r="G41" i="2" s="1"/>
  <c r="K38" i="2"/>
  <c r="K39" i="2" s="1"/>
  <c r="K41" i="2" s="1"/>
  <c r="L38" i="2"/>
  <c r="W33" i="7"/>
  <c r="X32" i="7"/>
  <c r="W34" i="7"/>
  <c r="D48" i="7" s="1"/>
  <c r="V31" i="9"/>
  <c r="Y29" i="9"/>
  <c r="X33" i="8"/>
  <c r="Z32" i="8"/>
  <c r="X34" i="8"/>
  <c r="R36" i="2"/>
  <c r="W34" i="2"/>
  <c r="W36" i="2" s="1"/>
  <c r="G38" i="3"/>
  <c r="Y41" i="3"/>
  <c r="V33" i="6"/>
  <c r="Y32" i="6"/>
  <c r="V34" i="6"/>
  <c r="P7" i="8" l="1"/>
  <c r="D49" i="8"/>
  <c r="Y31" i="9"/>
  <c r="AE42" i="1"/>
  <c r="AA44" i="1"/>
  <c r="AE44" i="1" s="1"/>
  <c r="Z33" i="8"/>
  <c r="Z34" i="8"/>
  <c r="X33" i="7"/>
  <c r="Z32" i="7"/>
  <c r="X34" i="7"/>
  <c r="Y33" i="7"/>
  <c r="Y34" i="7"/>
  <c r="U36" i="3"/>
  <c r="AB34" i="3"/>
  <c r="AB36" i="3" s="1"/>
  <c r="X34" i="3"/>
  <c r="Z33" i="6"/>
  <c r="Z34" i="6"/>
  <c r="O32" i="9"/>
  <c r="Y33" i="6"/>
  <c r="Y34" i="6"/>
  <c r="G39" i="3"/>
  <c r="G41" i="3" s="1"/>
  <c r="K38" i="3"/>
  <c r="K39" i="3" s="1"/>
  <c r="K41" i="3" s="1"/>
  <c r="X36" i="2"/>
  <c r="Z34" i="2"/>
  <c r="Z35" i="2"/>
  <c r="D51" i="6"/>
  <c r="P7" i="6"/>
  <c r="X31" i="9"/>
  <c r="Z29" i="9"/>
  <c r="N38" i="2"/>
  <c r="L39" i="2"/>
  <c r="L41" i="2" s="1"/>
  <c r="O38" i="2"/>
  <c r="Z36" i="2" l="1"/>
  <c r="D49" i="7"/>
  <c r="P7" i="7"/>
  <c r="V38" i="2"/>
  <c r="V39" i="2" s="1"/>
  <c r="V41" i="2" s="1"/>
  <c r="N39" i="2"/>
  <c r="N41" i="2" s="1"/>
  <c r="R38" i="2"/>
  <c r="O39" i="2"/>
  <c r="O41" i="2" s="1"/>
  <c r="P5" i="7"/>
  <c r="D43" i="7"/>
  <c r="Z33" i="7"/>
  <c r="Z34" i="7"/>
  <c r="X36" i="3"/>
  <c r="Z35" i="3"/>
  <c r="Z34" i="3"/>
  <c r="L38" i="3"/>
  <c r="P5" i="6"/>
  <c r="D44" i="6"/>
  <c r="O33" i="9"/>
  <c r="S32" i="9"/>
  <c r="N32" i="9"/>
  <c r="O34" i="9"/>
  <c r="P32" i="9"/>
  <c r="D52" i="6"/>
  <c r="P8" i="6"/>
  <c r="D50" i="8"/>
  <c r="P8" i="8"/>
  <c r="Z31" i="9"/>
  <c r="Z36" i="3" l="1"/>
  <c r="D50" i="7"/>
  <c r="P8" i="7"/>
  <c r="U32" i="9"/>
  <c r="S33" i="9"/>
  <c r="S34" i="9"/>
  <c r="R39" i="2"/>
  <c r="R41" i="2" s="1"/>
  <c r="W38" i="2"/>
  <c r="W39" i="2" s="1"/>
  <c r="W41" i="2" s="1"/>
  <c r="P33" i="9"/>
  <c r="Q32" i="9"/>
  <c r="P34" i="9"/>
  <c r="D45" i="9" s="1"/>
  <c r="U38" i="2"/>
  <c r="D44" i="9"/>
  <c r="I6" i="9"/>
  <c r="P6" i="9"/>
  <c r="L39" i="3"/>
  <c r="L41" i="3" s="1"/>
  <c r="N38" i="3"/>
  <c r="AC7" i="2" l="1"/>
  <c r="AC8" i="2"/>
  <c r="U33" i="9"/>
  <c r="U34" i="9"/>
  <c r="D48" i="9" s="1"/>
  <c r="N39" i="3"/>
  <c r="N41" i="3" s="1"/>
  <c r="V38" i="3"/>
  <c r="V39" i="3" s="1"/>
  <c r="V41" i="3" s="1"/>
  <c r="V32" i="9"/>
  <c r="AB38" i="2"/>
  <c r="AB39" i="2" s="1"/>
  <c r="AB41" i="2" s="1"/>
  <c r="U39" i="2"/>
  <c r="U41" i="2" s="1"/>
  <c r="X38" i="2"/>
  <c r="Q33" i="9"/>
  <c r="W32" i="9"/>
  <c r="Q34" i="9"/>
  <c r="R32" i="9"/>
  <c r="O38" i="3"/>
  <c r="R33" i="9" l="1"/>
  <c r="AA32" i="9"/>
  <c r="R34" i="9"/>
  <c r="D46" i="9" s="1"/>
  <c r="O39" i="3"/>
  <c r="O41" i="3" s="1"/>
  <c r="R38" i="3"/>
  <c r="U38" i="3" s="1"/>
  <c r="X39" i="2"/>
  <c r="Z38" i="2"/>
  <c r="AD34" i="2"/>
  <c r="AD30" i="2"/>
  <c r="AD26" i="2"/>
  <c r="AD31" i="2"/>
  <c r="AD35" i="2"/>
  <c r="AD18" i="2"/>
  <c r="AD38" i="2"/>
  <c r="AD11" i="2"/>
  <c r="AD41" i="2" s="1"/>
  <c r="AD27" i="2"/>
  <c r="AD25" i="2"/>
  <c r="AD20" i="2"/>
  <c r="AD17" i="2"/>
  <c r="AD24" i="2"/>
  <c r="AD12" i="2"/>
  <c r="AD13" i="2"/>
  <c r="AD16" i="2"/>
  <c r="AD23" i="2"/>
  <c r="AD19" i="2"/>
  <c r="Y32" i="9"/>
  <c r="V33" i="9"/>
  <c r="V34" i="9"/>
  <c r="W33" i="9"/>
  <c r="X32" i="9"/>
  <c r="W34" i="9"/>
  <c r="D49" i="9" s="1"/>
  <c r="AB38" i="3" l="1"/>
  <c r="AB39" i="3" s="1"/>
  <c r="AB41" i="3" s="1"/>
  <c r="U39" i="3"/>
  <c r="U41" i="3" s="1"/>
  <c r="X38" i="3"/>
  <c r="Z32" i="9"/>
  <c r="X33" i="9"/>
  <c r="X34" i="9"/>
  <c r="Z39" i="2"/>
  <c r="X41" i="2"/>
  <c r="Z41" i="2" s="1"/>
  <c r="Y33" i="9"/>
  <c r="Y34" i="9"/>
  <c r="R39" i="3"/>
  <c r="R41" i="3" s="1"/>
  <c r="W38" i="3"/>
  <c r="W39" i="3" s="1"/>
  <c r="W41" i="3" s="1"/>
  <c r="AA33" i="9"/>
  <c r="AB32" i="9"/>
  <c r="AB33" i="9"/>
  <c r="AA34" i="9"/>
  <c r="AB34" i="9" s="1"/>
  <c r="X39" i="3" l="1"/>
  <c r="Z38" i="3"/>
  <c r="D43" i="9"/>
  <c r="P5" i="9"/>
  <c r="D50" i="9"/>
  <c r="P7" i="9"/>
  <c r="AC7" i="3"/>
  <c r="AC8" i="3"/>
  <c r="Z33" i="9"/>
  <c r="Z34" i="9"/>
  <c r="AD16" i="3"/>
  <c r="AD25" i="3"/>
  <c r="AD12" i="3"/>
  <c r="AD35" i="3"/>
  <c r="AD31" i="3"/>
  <c r="AD18" i="3"/>
  <c r="AD27" i="3"/>
  <c r="AD38" i="3"/>
  <c r="AD34" i="3"/>
  <c r="AD30" i="3"/>
  <c r="AD17" i="3"/>
  <c r="AD19" i="3"/>
  <c r="AD11" i="3"/>
  <c r="AD26" i="3"/>
  <c r="AD13" i="3"/>
  <c r="AD23" i="3"/>
  <c r="AD24" i="3"/>
  <c r="AD20" i="3"/>
  <c r="AD41" i="3" l="1"/>
  <c r="D51" i="9"/>
  <c r="P8" i="9"/>
  <c r="Z39" i="3"/>
  <c r="X41" i="3"/>
  <c r="Z41" i="3" s="1"/>
</calcChain>
</file>

<file path=xl/sharedStrings.xml><?xml version="1.0" encoding="utf-8"?>
<sst xmlns="http://schemas.openxmlformats.org/spreadsheetml/2006/main" count="1817" uniqueCount="395">
  <si>
    <t>Модель 1-1: Факт ПДВ + прибуток 2017–2021, правильний збір податків</t>
  </si>
  <si>
    <t>Основна модель загальної системи: структура і валовий оборот приведені до факту 13 239,19 млрд грн; сума ПДВ нетто + податку на прибуток калібрується до 516,70 млрд грн.</t>
  </si>
  <si>
    <t>Параметр</t>
  </si>
  <si>
    <t>Значення</t>
  </si>
  <si>
    <t>Коментар</t>
  </si>
  <si>
    <t>Коефіцієнт обов'язкових платежів без вхідного ПДВ, % від вхідної вартості</t>
  </si>
  <si>
    <t>Калібровано так, щоб підсумкова сума обов'язкових платежів становила 2 003,09 млрд грн</t>
  </si>
  <si>
    <t>Вхідний виробничий потік поза моделлю, млрд</t>
  </si>
  <si>
    <t>Стартовий виробничий вхід</t>
  </si>
  <si>
    <t>Рентабельність виробництва, %</t>
  </si>
  <si>
    <t>Підібрана для виходу на фактичний збір податків</t>
  </si>
  <si>
    <t>Цільовий ПДВ нетто, млрд</t>
  </si>
  <si>
    <t>Довідковий контроль</t>
  </si>
  <si>
    <t>Ставка ПДВ внутрішнього ринку / імпорту, %</t>
  </si>
  <si>
    <t>Експорт — 0%</t>
  </si>
  <si>
    <t>Стартова база входу на ринок, млрд</t>
  </si>
  <si>
    <t>Імпортний потік + виробничий потік</t>
  </si>
  <si>
    <t>Рентабельність експорту, %</t>
  </si>
  <si>
    <t>Цільовий податок на прибуток, млрд</t>
  </si>
  <si>
    <t>Ставка податку на прибуток, %</t>
  </si>
  <si>
    <t>Спрощено від фінансового результату брутто</t>
  </si>
  <si>
    <t>Частка імпорту неплатників ПДВ, %</t>
  </si>
  <si>
    <t>У межах імпортного потоку</t>
  </si>
  <si>
    <t>Рентабельність роздробу, %</t>
  </si>
  <si>
    <t>Цільова сума обов'язкових платежів без вхідного ПДВ, млрд</t>
  </si>
  <si>
    <t>Зберігається в моделі 1-1 і 2-1</t>
  </si>
  <si>
    <t>Цільова частка обов'язкових платежів без вхідного ПДВ, % від валового обороту</t>
  </si>
  <si>
    <t>Контрольний макропоказник</t>
  </si>
  <si>
    <t>Рентабельність імпортних операцій, %</t>
  </si>
  <si>
    <t>Цільовий валовий товарообіг з ПДВ / за рахунками, млрд</t>
  </si>
  <si>
    <t>Приведена факт-база моделі</t>
  </si>
  <si>
    <t>Методологічне попередження</t>
  </si>
  <si>
    <t>рентабельність окремих груп &lt; 8%</t>
  </si>
  <si>
    <t>За збереження всіх констант діапазон 8–25% не дозволяє отримати 516,70 млрд податків</t>
  </si>
  <si>
    <t>Вхідний імпортний потік, млрд</t>
  </si>
  <si>
    <t>Стартовий імпортний вхід</t>
  </si>
  <si>
    <t>Рентабельність оптової торгівлі, %</t>
  </si>
  <si>
    <t>Однакова для платників і неплатників ПДВ</t>
  </si>
  <si>
    <t>Цільовий збір ПДВ нетто + податок на прибуток, млрд</t>
  </si>
  <si>
    <t>Фактичний середньорічний орієнтир за 2017–2021 рр.</t>
  </si>
  <si>
    <t>№ етапу</t>
  </si>
  <si>
    <t>Частка вхідного потоку, %</t>
  </si>
  <si>
    <t>Вид контрагента</t>
  </si>
  <si>
    <t>Статус ПДВ</t>
  </si>
  <si>
    <t>Тип виходу</t>
  </si>
  <si>
    <t>Тип входу</t>
  </si>
  <si>
    <t>Вхідна вартість без ПДВ</t>
  </si>
  <si>
    <t>Ставка ПДВ реалізації / імпорту, %</t>
  </si>
  <si>
    <t>ПДВ при імпорті</t>
  </si>
  <si>
    <t>Зовнішній вхідний ПДВ поза моделлю</t>
  </si>
  <si>
    <t>ПДВ попереднього етапу</t>
  </si>
  <si>
    <t>ПДВ-кредит до заліку</t>
  </si>
  <si>
    <t>Невідшкодовуваний ПДВ у собівартість</t>
  </si>
  <si>
    <t>Обов'язкові платежі без вхідного ПДВ</t>
  </si>
  <si>
    <t>Рентабельність витрат, %</t>
  </si>
  <si>
    <t>Націнка</t>
  </si>
  <si>
    <t>Реалізація без нарахованого ПДВ</t>
  </si>
  <si>
    <t>ПДВ-зобов'язання</t>
  </si>
  <si>
    <t>Реалізація з ПДВ / за рахунком</t>
  </si>
  <si>
    <t>Фінрезультат брутто</t>
  </si>
  <si>
    <t>Податок на прибуток</t>
  </si>
  <si>
    <t>Фінрезультат нетто</t>
  </si>
  <si>
    <t>ПДВ до сплати / відшкодування</t>
  </si>
  <si>
    <t>Накопичення ком. капіталу</t>
  </si>
  <si>
    <t>Сплачено податків</t>
  </si>
  <si>
    <t>Кінцеве споживання / вилучення</t>
  </si>
  <si>
    <t>Перехідна вартість без ПДВ</t>
  </si>
  <si>
    <t>Перехідний ПДВ</t>
  </si>
  <si>
    <t>Перевірка часток етапу</t>
  </si>
  <si>
    <t>Збільшення вартості кінцевого споживання,%</t>
  </si>
  <si>
    <t>Валовий оборот для структури</t>
  </si>
  <si>
    <t>Структурна категорія</t>
  </si>
  <si>
    <t>Частка рядка у валовому обороті, %</t>
  </si>
  <si>
    <t>Імпортер товарів — не платник ПДВ</t>
  </si>
  <si>
    <t>Неплатник ПДВ</t>
  </si>
  <si>
    <t>Перехід</t>
  </si>
  <si>
    <t>Імпорт неплатник ПДВ</t>
  </si>
  <si>
    <t>Імпорт</t>
  </si>
  <si>
    <t>Імпортер сировини й напівфабрикатів</t>
  </si>
  <si>
    <t>Платник ПДВ</t>
  </si>
  <si>
    <t>Імпорт платник ПДВ</t>
  </si>
  <si>
    <t>Виробник</t>
  </si>
  <si>
    <t>Виробництво поза моделлю</t>
  </si>
  <si>
    <t>Виробництво</t>
  </si>
  <si>
    <t>РАЗОМ етап 1</t>
  </si>
  <si>
    <t>РАЗОМ</t>
  </si>
  <si>
    <t>Експортер товарів/напівфабрикатів</t>
  </si>
  <si>
    <t>Експорт</t>
  </si>
  <si>
    <t>Перехід з попереднього етапу</t>
  </si>
  <si>
    <t>Виробник / інша реалізація</t>
  </si>
  <si>
    <t>Кінцеве споживання</t>
  </si>
  <si>
    <t>Оптовий посередник — не платник ПДВ</t>
  </si>
  <si>
    <t>Опт неплатники ПДВ</t>
  </si>
  <si>
    <t>Оптовий посередник — платник ПДВ</t>
  </si>
  <si>
    <t>Опт платники ПДВ</t>
  </si>
  <si>
    <t>РАЗОМ етап 2</t>
  </si>
  <si>
    <t>РАЗОМ етап 3</t>
  </si>
  <si>
    <t>Роздрібний продавець — платник ПДВ</t>
  </si>
  <si>
    <t>Роздріб</t>
  </si>
  <si>
    <t>РАЗОМ етап 4</t>
  </si>
  <si>
    <t>Роздрібний продавець — не платник ПДВ</t>
  </si>
  <si>
    <t>РАЗОМ етап 5</t>
  </si>
  <si>
    <t>РАЗОМ етап 6</t>
  </si>
  <si>
    <t>РАЗОМ МОДЕЛІ</t>
  </si>
  <si>
    <t>Модель 2-1: Факт ТОП 2017–2021, рентабельність = модель 1-1</t>
  </si>
  <si>
    <t>Базова модель торгово-операційного оподаткування на тій самій вхідній вартості, грошовій сумі обов'язкових платежів і рентабельності, що в моделі 1-1. Кінцевий оборот — результат моделі.</t>
  </si>
  <si>
    <t>Та сама грошова сума, що в моделі 1-1</t>
  </si>
  <si>
    <t>Частка імпорту товарів кінцевого споживання, %</t>
  </si>
  <si>
    <t>Податок з імпорту товарів кінцевого споживання, %</t>
  </si>
  <si>
    <t>Базова ставка ТОП</t>
  </si>
  <si>
    <t>Податок з експорту товарів і напівфабрикатів, %</t>
  </si>
  <si>
    <t>Посилання на модель 1-1</t>
  </si>
  <si>
    <t>Коефіцієнт обов'язкових платежів, % від вхідної вартості</t>
  </si>
  <si>
    <t>Калібровано для збігу суми обов'язкових платежів із моделлю 1-1</t>
  </si>
  <si>
    <t>Частка імпорту сировини й напівфабрикатів, %</t>
  </si>
  <si>
    <t>Податок з імпорту сировини й напівфабрикатів, %</t>
  </si>
  <si>
    <t>Податок з експорту сировини, %</t>
  </si>
  <si>
    <t>Та сама стартова імпортна база</t>
  </si>
  <si>
    <t>Частка експорту товарів і напівфабрикатів, %</t>
  </si>
  <si>
    <t>У межах експортних потоків</t>
  </si>
  <si>
    <t>Податок з оптової торгівлі, %</t>
  </si>
  <si>
    <t>Цільова сума податків чинної системи, млрд</t>
  </si>
  <si>
    <t>Контрольна величина для порівняння</t>
  </si>
  <si>
    <t>Та сама стартова виробнича база</t>
  </si>
  <si>
    <t>Частка експорту сировини, %</t>
  </si>
  <si>
    <t>Податок з виробництва, %</t>
  </si>
  <si>
    <t>Фактична сума податків ТОП у моделі, млрд</t>
  </si>
  <si>
    <t>Розрахунковий результат моделі 2-1</t>
  </si>
  <si>
    <t>Перевірка часток імпорту / експорту, %</t>
  </si>
  <si>
    <t>Імпорт: має дорівнювати 100%; експортні частки подані окремо в J6:J7</t>
  </si>
  <si>
    <t>Податок з роздрібної торгівлі, %</t>
  </si>
  <si>
    <t>Результат моделі</t>
  </si>
  <si>
    <t>Контрольне співставлення з розрахунковою таблицею</t>
  </si>
  <si>
    <t>Тип імпорту</t>
  </si>
  <si>
    <t>Вид торгівлі / операція</t>
  </si>
  <si>
    <t>Вхідна вартість з урахуванням податків попередніх етапів</t>
  </si>
  <si>
    <t>Податок з імпорту товарів кінцевого споживання</t>
  </si>
  <si>
    <t>Податок з імпорту сировини й напівфабрикатів</t>
  </si>
  <si>
    <t>Обов'язкові платежі без вхідного ПДВ, %</t>
  </si>
  <si>
    <t>База витрат для націнки</t>
  </si>
  <si>
    <t>Ціна без поточного податку / база податку з обороту</t>
  </si>
  <si>
    <t>Податок з оптової торгівлі</t>
  </si>
  <si>
    <t>Податок з виробництва</t>
  </si>
  <si>
    <t>Податок з роздрібної торгівлі</t>
  </si>
  <si>
    <t>Податок з експорту товарів і напівфабрикатів</t>
  </si>
  <si>
    <t>Податок з експорту сировини</t>
  </si>
  <si>
    <t>Реалізація з податками</t>
  </si>
  <si>
    <t>Перехідна вартість на наступний етап</t>
  </si>
  <si>
    <t>Імпортер товарів кінцевого споживання</t>
  </si>
  <si>
    <t>Імпорт товарів кінцевого споживання</t>
  </si>
  <si>
    <t>Імпорт + оптовий продаж</t>
  </si>
  <si>
    <t>Імпорт сировини й напівфабрикатів</t>
  </si>
  <si>
    <t>Виробник / випуск поза моделлю</t>
  </si>
  <si>
    <t>Без імпорту</t>
  </si>
  <si>
    <t>Експортер товарів і напівфабрикатів</t>
  </si>
  <si>
    <t>Експорт товарів і напівфабрикатів</t>
  </si>
  <si>
    <t>Експортер сировини</t>
  </si>
  <si>
    <t>Експорт сировини</t>
  </si>
  <si>
    <t>Виробник / кінцева реалізація</t>
  </si>
  <si>
    <t>Виробник / перехід</t>
  </si>
  <si>
    <t>Оптовий посередник</t>
  </si>
  <si>
    <t>Оптова торгівля</t>
  </si>
  <si>
    <t>Опт</t>
  </si>
  <si>
    <t>Роздрібний продавець</t>
  </si>
  <si>
    <t>Роздрібна торгівля</t>
  </si>
  <si>
    <t>Модель 2-2: Факт ТОП 2017–2021, фіскальне вирівнювання з моделлю 1-1</t>
  </si>
  <si>
    <t>Варіант торгово-операційного оподаткування з підвищеними ставками: ціль — наблизити податковий збір до моделі 1-1 за збереження вхідної бази, рентабельності та структури потоків.</t>
  </si>
  <si>
    <t>Ставка фіскального вирівнювання</t>
  </si>
  <si>
    <t>Ставка ТОП у контрольній моделі</t>
  </si>
  <si>
    <t>Калібровано для фіскального вирівнювання з моделлю 1-1</t>
  </si>
  <si>
    <t>Ставка ТОП</t>
  </si>
  <si>
    <t>Рентабельність роздрібної торгівлі, %</t>
  </si>
  <si>
    <t>Розрахунковий результат моделі 2-2</t>
  </si>
  <si>
    <t>Модель 3-1: ПДВ + податок на прибуток, реалістична вхідна вартість і 4 ланки</t>
  </si>
  <si>
    <t>Калібрування: початкова вартість 5 904,19 млрд; кінцевий валовий товарообіг 13 239,19 млрд; податок на прибуток 115,84 млрд. ПДВ не підганяється і виводиться як результат моделі.</t>
  </si>
  <si>
    <t>Калібровано так, щоб сума обов'язкових платежів становила 2 003,09 млрд грн</t>
  </si>
  <si>
    <t>Середній імпорт 2017–2021</t>
  </si>
  <si>
    <t>Переноситься в ТОП 2-3</t>
  </si>
  <si>
    <t>Валовий товарообіг, млрд</t>
  </si>
  <si>
    <t>ціль 13 239,19</t>
  </si>
  <si>
    <t>Обов'язкові платежі, млрд</t>
  </si>
  <si>
    <t>ціль 2 003,09</t>
  </si>
  <si>
    <t>Експорт — 0 %</t>
  </si>
  <si>
    <t>Вхідний виробничий / внутрішній потік, млрд</t>
  </si>
  <si>
    <t>Усереднення ВВП і виробничої реалізації мінус імпортна частина</t>
  </si>
  <si>
    <t>Відхилення валового товарообігу, млрд</t>
  </si>
  <si>
    <t>≈ 0</t>
  </si>
  <si>
    <t>Кінцеве споживання / вилучення, млрд</t>
  </si>
  <si>
    <t>Показник моделі</t>
  </si>
  <si>
    <t>Фактичний податок на прибуток контролюється окремо</t>
  </si>
  <si>
    <t>Факт 2017–2021</t>
  </si>
  <si>
    <t>Кількість ланок моделі</t>
  </si>
  <si>
    <t>Реалістична 4-ланкова структура</t>
  </si>
  <si>
    <t>Усього сплачено податків, млрд</t>
  </si>
  <si>
    <t>ПДВ + податок на прибуток</t>
  </si>
  <si>
    <t>Збільшення кінцевого споживання, %</t>
  </si>
  <si>
    <t>До стартової бази моделі</t>
  </si>
  <si>
    <t>Цільовий валовий товарообіг факт, млрд</t>
  </si>
  <si>
    <t>Приведена факт-база товарообороту</t>
  </si>
  <si>
    <t>Підбирається вручну / параметрично</t>
  </si>
  <si>
    <t>Період моделювання</t>
  </si>
  <si>
    <t>2017–2021</t>
  </si>
  <si>
    <t>Середньорічні показники за період</t>
  </si>
  <si>
    <t>ПДВ нетто, млрд</t>
  </si>
  <si>
    <t>результат, не підганяється</t>
  </si>
  <si>
    <t>Збільшення валового товарообігу до початкової бази, %</t>
  </si>
  <si>
    <t>Імпортний потік + виробничий / внутрішній потік</t>
  </si>
  <si>
    <t>Статус ПДВ-моделі</t>
  </si>
  <si>
    <t>ПДВ не підганяється</t>
  </si>
  <si>
    <t>ПДВ є результатом моделі</t>
  </si>
  <si>
    <t>Податок на прибуток, млрд</t>
  </si>
  <si>
    <t>ціль 115,84</t>
  </si>
  <si>
    <t>Накопичення ком. капіталу, млрд</t>
  </si>
  <si>
    <t>Фіксована грошова сума</t>
  </si>
  <si>
    <t>Діагностичний показник</t>
  </si>
  <si>
    <t>Фіскальна константа порівняння</t>
  </si>
  <si>
    <t>ПДВ нетто + прибуток</t>
  </si>
  <si>
    <t>Порівняння з фактичними зборами</t>
  </si>
  <si>
    <t>Відхилення податку на прибуток, млрд</t>
  </si>
  <si>
    <t>Контрольне зіставлення з розрахунковою таблицею</t>
  </si>
  <si>
    <t>Збільшення валового товарообігу до початкової бази,%</t>
  </si>
  <si>
    <t>Структура обороту</t>
  </si>
  <si>
    <t>Ціль, %</t>
  </si>
  <si>
    <t>Модель, %</t>
  </si>
  <si>
    <t>Відхилення, в.п.</t>
  </si>
  <si>
    <t>Модель, млрд</t>
  </si>
  <si>
    <t>Статус</t>
  </si>
  <si>
    <t>Імпортер товарів — неплатник ПДВ</t>
  </si>
  <si>
    <t>Імпорт неплатник</t>
  </si>
  <si>
    <t>Імпортер сировини/напівфабрикатів — платник ПДВ</t>
  </si>
  <si>
    <t>Імпорт платник</t>
  </si>
  <si>
    <t>Оптовий посередник — неплатник ПДВ</t>
  </si>
  <si>
    <t>Залишок поза подальшою реалізацією періоду</t>
  </si>
  <si>
    <t>Не реалізовано</t>
  </si>
  <si>
    <t>Залишок</t>
  </si>
  <si>
    <t>Роздрібний продавець — неплатник ПДВ</t>
  </si>
  <si>
    <t>Оптовий залишок — платник ПДВ</t>
  </si>
  <si>
    <t>Залишок в обороті</t>
  </si>
  <si>
    <t>Оптовий залишок — неплатник ПДВ</t>
  </si>
  <si>
    <t>Методологічна примітка: рядки «Залишок поза подальшою реалізацією періоду» показують частину вартості, яка не створила нової реалізації в межах 4-ланкової моделі. Це необхідно, щоб за фактичної початкової бази 5 904,19 млрд грн модель не роздувала валовий товарообіг понад фактичні 13 239,19 млрд грн.</t>
  </si>
  <si>
    <t>Модель 2-3: ТОП на базі моделі 3-1, 4 ланки</t>
  </si>
  <si>
    <t>Порівняльна модель торгово-операційного оподаткування на реалістичній структурі моделі 3-1. Вхідна база, активні частки виведення та рентабельності переносяться з моделі 3-1; податковий результат визначається базовими ставками ТОП.</t>
  </si>
  <si>
    <t>Як у моделі 3-1</t>
  </si>
  <si>
    <t>Посилання на модель 3-1</t>
  </si>
  <si>
    <t>Податкове навантаження, % від обороту</t>
  </si>
  <si>
    <t>Усього податків / валовий оборот</t>
  </si>
  <si>
    <t>Розрахунковий результат моделі</t>
  </si>
  <si>
    <t>Ціль 2 003,09</t>
  </si>
  <si>
    <t>Оптовий посередник / малий бізнес</t>
  </si>
  <si>
    <t>Роздрібний продавець загальний</t>
  </si>
  <si>
    <t>Роздрібний продавець / малий бізнес</t>
  </si>
  <si>
    <t>Оптовий залишок</t>
  </si>
  <si>
    <t>Оптовий залишок / малий бізнес</t>
  </si>
  <si>
    <t>Методологічна примітка: модель 2-3 використовує ті самі частки активного виведення і ті самі рентабельності, що й модель 3-1. Кінцевий оборот і податковий збір не фіксуються, а є результатом застосування базових ставок ТОП.</t>
  </si>
  <si>
    <t>Модель 0-0: Базова діагностична ПДВ-модель</t>
  </si>
  <si>
    <t>Діагностична модель ПДВ і податку на прибуток, 6 етапів. Усі грошові показники — млрд грн. Спільна стартова база та матриця товарного потоку.</t>
  </si>
  <si>
    <t>Умова</t>
  </si>
  <si>
    <t>Результат</t>
  </si>
  <si>
    <t>Показник</t>
  </si>
  <si>
    <t>Умови сценарію</t>
  </si>
  <si>
    <t>Витрати без ПДВ-кредиту, % від входу</t>
  </si>
  <si>
    <t>Заданий коефіцієнт витрат кожної операції.</t>
  </si>
  <si>
    <t>Ставка ПДВ при імпорті, %</t>
  </si>
  <si>
    <t>Імпортний ПДВ включений до загального збору один раз.</t>
  </si>
  <si>
    <t>Витрати без вхідного ПДВ-кредиту</t>
  </si>
  <si>
    <t>млрд грн</t>
  </si>
  <si>
    <t>Витрати без ПДВ-кредиту — 20% вхідної вартості кожної операції.</t>
  </si>
  <si>
    <t>Ставка ПДВ внутрішнього ринку, %</t>
  </si>
  <si>
    <t>Для внутрішньої реалізації.</t>
  </si>
  <si>
    <t>Ставка зовнішнього вхідного ПДВ, %</t>
  </si>
  <si>
    <t>Вхідний кредит виробничого потоку.</t>
  </si>
  <si>
    <t>Чиста прибутковість / комерційний капітал</t>
  </si>
  <si>
    <t>Від фінансового результату брутто.</t>
  </si>
  <si>
    <t>Націнка до витрат, %</t>
  </si>
  <si>
    <t>До суми входу та витрат без ПДВ-кредиту.</t>
  </si>
  <si>
    <t>Валова націнка / прибуток до оподаткування</t>
  </si>
  <si>
    <t>Націнка — 10% суми вхідної вартості та витрат без ПДВ-кредиту.</t>
  </si>
  <si>
    <t>Стартова вартість першого етапу</t>
  </si>
  <si>
    <t>Імпорт і зовнішній виробничий вхід.</t>
  </si>
  <si>
    <t>База порівняння кінцевого споживання</t>
  </si>
  <si>
    <t>Дорівнює стартовій вартості.</t>
  </si>
  <si>
    <t>ПДВ усього до бюджету</t>
  </si>
  <si>
    <t>Ставка ПДВ експорту, %</t>
  </si>
  <si>
    <t>Зі збереженням вхідного кредиту.</t>
  </si>
  <si>
    <t>Кількість ланок</t>
  </si>
  <si>
    <t>Однакова структура потоків у всіх чотирьох моделях.</t>
  </si>
  <si>
    <t>Усього податків</t>
  </si>
  <si>
    <t>ПДВ усього до бюджету = ПДВ при імпорті + ПДВ до сплати / відшкодування.</t>
  </si>
  <si>
    <t>Ставка ПДВ реалізації, %</t>
  </si>
  <si>
    <t>Зовнішній вхідний ПДВ</t>
  </si>
  <si>
    <t>Загальний ПДВ-кредит</t>
  </si>
  <si>
    <t>Витрати / вхід, %</t>
  </si>
  <si>
    <t>Валова націнка</t>
  </si>
  <si>
    <t>Реалізація без ПДВ</t>
  </si>
  <si>
    <t>ПДВ-зобов’язання</t>
  </si>
  <si>
    <t>Реалізація з ПДВ</t>
  </si>
  <si>
    <t>Податок на прибуток, %</t>
  </si>
  <si>
    <t>Комерційний капітал</t>
  </si>
  <si>
    <t>Удорожання кінцевого споживання, %</t>
  </si>
  <si>
    <t>Перехідний ПДВ-кредит</t>
  </si>
  <si>
    <t>Перевірка часток</t>
  </si>
  <si>
    <t>Імпортер товарів</t>
  </si>
  <si>
    <t>Імпортер сировини та напівфабрикатів</t>
  </si>
  <si>
    <t>Зовнішній ПДВ</t>
  </si>
  <si>
    <t>РАЗОМ етапу 1</t>
  </si>
  <si>
    <t>Внутрішній ланцюг</t>
  </si>
  <si>
    <t>виробник-експортер</t>
  </si>
  <si>
    <t>РАЗОМ етапу 2</t>
  </si>
  <si>
    <t>РАЗОМ етапу 3</t>
  </si>
  <si>
    <t>РАЗОМ етапу 4</t>
  </si>
  <si>
    <t>РАЗОМ етапу 5</t>
  </si>
  <si>
    <t>РАЗОМ етапу 6</t>
  </si>
  <si>
    <t>ПІДСУМОК ЗА 6 ЕТАПІВ</t>
  </si>
  <si>
    <t>Зіставлення розрахунку з паспортом моделі</t>
  </si>
  <si>
    <t>Розрахунок</t>
  </si>
  <si>
    <t>Паспорт</t>
  </si>
  <si>
    <t>Стартова вхідна вартість першого етапу</t>
  </si>
  <si>
    <t>Ставка ПДВ, %</t>
  </si>
  <si>
    <t>Валовий оборот без ПДВ</t>
  </si>
  <si>
    <t>Валовий оборот з ПДВ</t>
  </si>
  <si>
    <t>Сумарна вхідна вартість за всіма етапами</t>
  </si>
  <si>
    <t>Модель 0-1: Зростання витрат без вхідного ПДВ-кредиту</t>
  </si>
  <si>
    <t>Витрати — 30% поточної вхідної вартості кожної операції.</t>
  </si>
  <si>
    <t>Середня націнка до витрат, %</t>
  </si>
  <si>
    <t>Розрахункове відношення загальної націнки до витрат.</t>
  </si>
  <si>
    <t>Абсолютна націнка кожної операції збережена з моделі 0-0. Чиста прибутковість незмінна.</t>
  </si>
  <si>
    <t>Модель 1-0: ПДВ-зобов’язання за відсутності прибутку</t>
  </si>
  <si>
    <t>Середні витрати / вхід, %</t>
  </si>
  <si>
    <t>Розрахунковий коефіцієнт; абсолютні витрати фіксовані по операціях.</t>
  </si>
  <si>
    <t>Абсолютні витрати кожної операції збережені з моделі 0-0.</t>
  </si>
  <si>
    <t>Валова націнка, чистий прибуток і сума податку на прибуток дорівнюють нулю.</t>
  </si>
  <si>
    <t>Модель 1-10: Вторинний ПДВ-ефект податку на прибуток 25%</t>
  </si>
  <si>
    <t>Чистий прибуток кожної операції збережений з моделі 0-0. Націнка = чистий прибуток / (1 − ставка податку).</t>
  </si>
  <si>
    <t>Реєстр моделей ПДВ і ТОП</t>
  </si>
  <si>
    <t>Номер моделі</t>
  </si>
  <si>
    <t>Опис моделі та її завдання</t>
  </si>
  <si>
    <t>0-0</t>
  </si>
  <si>
    <t>Базова шестиланкова модель ПДВ і податку на прибуток. Показує формування вартості, податкового кредиту, податкових платежів і комерційного капіталу. Є вихідним сценарієм для перевірки впливу витрат, прибутку та ставки податку на прибуток у моделях 0-1, 1-0 і 1-10.</t>
  </si>
  <si>
    <t>0-1</t>
  </si>
  <si>
    <t>Модель зростання витрат без вхідного ПДВ-кредиту: їх коефіцієнт підвищено з 20% до 30% вхідної вартості, а абсолютну націнку кожної операції збережено з моделі 0-0. Показує зростання обороту, цін і ПДВ за незмінних сум чистого прибутку.</t>
  </si>
  <si>
    <t>1-0</t>
  </si>
  <si>
    <t>Модель без прибутку: валову націнку та чистий прибуток обнулено, а абсолютні витрати кожної операції збережено з моделі 0-0. За однакових стартової вартості й матриці потоків показує збереження зобов’язань з ПДВ навіть за відсутності прибутку.</t>
  </si>
  <si>
    <t>1-10</t>
  </si>
  <si>
    <t>Модель підвищення ставки податку на прибуток із 18% до 25% за незмінних сум витрат і чистого прибутку кожної операції. Показує вторинний ПДВ-ефект: збільшення націнки для компенсації податку підвищує ціну та ПДВ, розкриваючи приховану міжподаткову каскадність за цих умов.</t>
  </si>
  <si>
    <t>1-1</t>
  </si>
  <si>
    <t>Основна шестиланкова модель системи «ПДВ + податок на прибуток», узгоджена з фактичними орієнтирами України за 2017–2021 роки: оборотом 13 239,19 млрд грн і збором податків 516,70 млрд грн. Є базою порівняння з ТОП за навантаженням, удорожанням кінцевого споживання та комерційним капіталом.</t>
  </si>
  <si>
    <t>2-1</t>
  </si>
  <si>
    <t>Базова шестиланкова модель ТОП на порівнянних умовах із моделлю 1-1: зі збереженням стартових потоків, суми обов’язкових платежів і рентабельності. Показує зміну податкового збору, обороту, удорожання кінцевого споживання та комерційного капіталу при застосуванні базових ставок ТОП.</t>
  </si>
  <si>
    <t>2-2</t>
  </si>
  <si>
    <t>Контрольна модель ТОП із підвищеними ставками, які наближають збір до моделі 1-1: 519,96 проти 516,70 млрд грн. Перевіряє, чи зберігаються відмінності в удорожанні кінцевого споживання та комерційному капіталі за порівнянного фіскального вилучення.</t>
  </si>
  <si>
    <t>3-1</t>
  </si>
  <si>
    <t>Чотириланкова модель «ПДВ + податок на прибуток» з уточненою початковою вартістю 5 904,19 млрд грн. Оборот і податок на прибуток узгоджуються з фактичними орієнтирами, а ПДВ визначається як результат. Перевіряє сумісність цих обмежень і показує необхідну виробничу рентабельність.</t>
  </si>
  <si>
    <t>2-3</t>
  </si>
  <si>
    <t>Чотириланкова модель ТОП на параметрах моделі 3-1: однаковій початковій вартості, матриці потоків, сумі обов’язкових платежів і рентабельності. Показує зміну обороту, податкових платежів, кінцевого споживання та комерційного капіталу при заміні системи «ПДВ + податок на прибуток» на ТОП.</t>
  </si>
  <si>
    <t>Джерела даних для моделей</t>
  </si>
  <si>
    <t>№</t>
  </si>
  <si>
    <t>Назва джерела</t>
  </si>
  <si>
    <t>URL</t>
  </si>
  <si>
    <t>148</t>
  </si>
  <si>
    <t>Державна служба статистики України. Обсяг реалізованої продукції (товарів, послуг) підприємств за видами економічної діяльності у розрізі регіонів.</t>
  </si>
  <si>
    <t>https://www.ukrstat.gov.ua/operativ/operativ2021/fin/pdp_roz_reg/orp_ved_14-20.xlsx</t>
  </si>
  <si>
    <t>149</t>
  </si>
  <si>
    <t>Держстат / data.gov.ua. Товарооборот внутрішньої торгівлі: оборот роздрібної торгівлі.</t>
  </si>
  <si>
    <t>https://data.gov.ua/dataset/1d111e90-046a-47dd-a2d0-e72fdee88836/resource/e5963cd6-6069-466d-9241-781eac01b2e2/download/78-tovarooborot-vnutrishnoyi-torgivli-u-faktichnikh-tsinakh-mlrd-grn.xlsx</t>
  </si>
  <si>
    <t>150</t>
  </si>
  <si>
    <t>Мінфін. Експорт та імпорт України / торговий баланс.</t>
  </si>
  <si>
    <t>https://index.minfin.com.ua/ua/economy/gdp/eximp/</t>
  </si>
  <si>
    <t>151</t>
  </si>
  <si>
    <t>Держстат. Фонд оплати праці найманих працівників на підприємствах від 10 осіб.</t>
  </si>
  <si>
    <t>https://ukrstat.gov.ua/operativ/operativ2018/gdn/fop_ppr_reg/Arch_Fop_ppr_reg_u.htm</t>
  </si>
  <si>
    <t>152</t>
  </si>
  <si>
    <t>ДПС / Казначейство / Мінфін. Надходження єдиного соціального внеску.</t>
  </si>
  <si>
    <t>https://index.minfin.com.ua/ua/finance/treasury/social/2021/</t>
  </si>
  <si>
    <t>153</t>
  </si>
  <si>
    <t>Мінфін. Доходи зведеного бюджету України.</t>
  </si>
  <si>
    <t>https://index.minfin.com.ua/ua/finance/budget/cons/income/2021/</t>
  </si>
  <si>
    <t>154</t>
  </si>
  <si>
    <t>Мінфін. Військовий збір.</t>
  </si>
  <si>
    <t>https://index.minfin.com.ua/ua/finance/treasury/military/2021/</t>
  </si>
  <si>
    <t>155</t>
  </si>
  <si>
    <t>Мінфін. Відшкодування ПДВ.</t>
  </si>
  <si>
    <t>https://index.minfin.com.ua/ua/finance/treasury/vat/2021/</t>
  </si>
  <si>
    <t>156</t>
  </si>
  <si>
    <t>Національний банк України. Офіційний курс гривні щодо іноземних валют.</t>
  </si>
  <si>
    <t>https://bank.gov.ua/ua/markets/exchangerates</t>
  </si>
  <si>
    <t>157</t>
  </si>
  <si>
    <t>Інструкція зі статистики заробітної плати, наказ Держкомстату України від 13.01.2004 №5.</t>
  </si>
  <si>
    <t>https://zakon.rada.gov.ua/go/z0114-04</t>
  </si>
  <si>
    <t>158</t>
  </si>
  <si>
    <t>Єдиний державний вебпортал відкритих даних. Товарооборот внутрішньої торгівлі, опис ресурсу «Оборот роздрібної торгівлі».</t>
  </si>
  <si>
    <t>https://data.gov.ua/dataset/a5f54bea-08c7-4b43-b666-fe7afa52a7cc/resource/e5963cd6-6069-466d-9241-781eac01b2e2</t>
  </si>
  <si>
    <t>159</t>
  </si>
  <si>
    <t>Мінфін. Номінальний ВВП України.</t>
  </si>
  <si>
    <t>https://index.minfin.com.ua/ua/economy/gdp/</t>
  </si>
  <si>
    <t>Назва моделі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</si>
</sst>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0"/>
      <name val="Arial"/>
    </font>
    <font>
      <sz val="11"/>
      <name val="Calibri"/>
    </font>
    <font>
      <b/>
      <sz val="12"/>
      <color rgb="FFFFFFFF"/>
      <name val="Calibri"/>
    </font>
    <font>
      <i/>
      <sz val="9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8"/>
      <color rgb="FF000000"/>
      <name val="Calibri"/>
    </font>
    <font>
      <b/>
      <sz val="8"/>
      <color rgb="FF000000"/>
      <name val="Calibri"/>
    </font>
    <font>
      <b/>
      <sz val="8"/>
      <color rgb="FFFFFFFF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11"/>
      <color rgb="FFFFFFFF"/>
      <name val="Times New Roman"/>
    </font>
    <font>
      <sz val="10"/>
      <color rgb="FF000000"/>
      <name val="Times New Roman"/>
    </font>
    <font>
      <i/>
      <sz val="12"/>
      <color rgb="FF000000"/>
      <name val="Times New Roman"/>
    </font>
    <font>
      <b/>
      <sz val="10"/>
      <color rgb="FFFFFFFF"/>
      <name val="Times New Roman"/>
    </font>
    <font>
      <sz val="9"/>
      <color rgb="FFFFFFFF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9"/>
      <color theme="0"/>
      <name val="Times New Roman"/>
    </font>
    <font>
      <sz val="10"/>
      <color theme="0"/>
      <name val="Times New Roman"/>
    </font>
    <font>
      <sz val="10"/>
      <color theme="0"/>
      <name val="Arial"/>
    </font>
    <font>
      <b/>
      <sz val="11"/>
      <color rgb="FFFFFFFF"/>
      <name val="Calibri"/>
    </font>
    <font>
      <i/>
      <sz val="10"/>
      <color rgb="FF000000"/>
      <name val="Calibri"/>
    </font>
    <font>
      <b/>
      <sz val="10"/>
      <color rgb="FFFFFFFF"/>
      <name val="Calibri"/>
    </font>
    <font>
      <sz val="8"/>
      <color rgb="FF000000"/>
      <name val="Calibri"/>
    </font>
    <font>
      <sz val="8"/>
      <name val="Arial"/>
    </font>
    <font>
      <sz val="10"/>
      <color rgb="FF000000"/>
      <name val="Calibri"/>
    </font>
    <font>
      <b/>
      <sz val="10"/>
      <color rgb="FF000000"/>
      <name val="Calibri"/>
    </font>
    <font>
      <b/>
      <sz val="11"/>
      <name val="Calibri"/>
    </font>
    <font>
      <i/>
      <sz val="11"/>
      <name val="Calibri"/>
    </font>
    <font>
      <sz val="9"/>
      <color rgb="FF000000"/>
      <name val="Arial"/>
    </font>
    <font>
      <b/>
      <sz val="9"/>
      <color rgb="FFFFFFFF"/>
      <name val="Arial"/>
    </font>
    <font>
      <b/>
      <sz val="9"/>
      <color rgb="FF000000"/>
      <name val="Arial"/>
    </font>
    <font>
      <sz val="11"/>
      <color rgb="FF172033"/>
      <name val="Calibri"/>
    </font>
    <font>
      <b/>
      <sz val="14"/>
      <color rgb="FFFFFFFF"/>
      <name val="Calibri"/>
    </font>
    <font>
      <b/>
      <sz val="12"/>
      <color rgb="FF1F4E78"/>
      <name val="Calibri"/>
    </font>
    <font>
      <sz val="10"/>
      <color rgb="FF172033"/>
      <name val="Calibri"/>
    </font>
    <font>
      <sz val="10"/>
      <color rgb="FF1F4E78"/>
      <name val="Calibri"/>
    </font>
  </fonts>
  <fills count="32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E2E8F0"/>
      </patternFill>
    </fill>
    <fill>
      <patternFill patternType="solid">
        <fgColor rgb="FF0F766E"/>
      </patternFill>
    </fill>
    <fill>
      <patternFill patternType="solid">
        <fgColor rgb="FFFEE2E2"/>
      </patternFill>
    </fill>
    <fill>
      <patternFill patternType="solid">
        <fgColor rgb="FF1F4E78"/>
      </patternFill>
    </fill>
    <fill>
      <patternFill patternType="solid">
        <fgColor rgb="FFFEF3C7"/>
      </patternFill>
    </fill>
    <fill>
      <patternFill patternType="solid">
        <fgColor rgb="FFD9EAD3"/>
      </patternFill>
    </fill>
    <fill>
      <patternFill patternType="solid">
        <fgColor rgb="FF0B1F33"/>
      </patternFill>
    </fill>
    <fill>
      <patternFill patternType="solid">
        <fgColor theme="0"/>
      </patternFill>
    </fill>
    <fill>
      <patternFill patternType="solid">
        <fgColor rgb="FFFFF2CC"/>
      </patternFill>
    </fill>
    <fill>
      <patternFill patternType="solid">
        <fgColor rgb="FFE8F0FA"/>
      </patternFill>
    </fill>
    <fill>
      <patternFill patternType="solid">
        <fgColor rgb="FFE2F0D9"/>
      </patternFill>
    </fill>
    <fill>
      <patternFill patternType="solid">
        <fgColor rgb="FF17365D"/>
      </patternFill>
    </fill>
    <fill>
      <patternFill patternType="solid">
        <fgColor rgb="FFD9E2F3"/>
      </patternFill>
    </fill>
    <fill>
      <patternFill patternType="solid">
        <fgColor rgb="FF00796B"/>
      </patternFill>
    </fill>
    <fill>
      <patternFill patternType="solid">
        <fgColor rgb="FFDDEBF7"/>
      </patternFill>
    </fill>
    <fill>
      <patternFill patternType="solid">
        <fgColor rgb="FFFCE4D6"/>
      </patternFill>
    </fill>
    <fill>
      <patternFill patternType="solid">
        <fgColor rgb="FF0F172A"/>
      </patternFill>
    </fill>
    <fill>
      <patternFill patternType="solid">
        <fgColor rgb="FFE2E8F0"/>
      </patternFill>
    </fill>
    <fill>
      <patternFill patternType="solid">
        <fgColor rgb="FF0F766E"/>
      </patternFill>
    </fill>
    <fill>
      <patternFill patternType="solid">
        <fgColor rgb="FFFFF2CC"/>
      </patternFill>
    </fill>
    <fill>
      <patternFill patternType="solid">
        <fgColor rgb="FFF8FAFC"/>
      </patternFill>
    </fill>
    <fill>
      <patternFill patternType="solid">
        <fgColor rgb="FF1F4E78"/>
      </patternFill>
    </fill>
    <fill>
      <patternFill patternType="solid">
        <fgColor rgb="FFD9EAD3"/>
      </patternFill>
    </fill>
    <fill>
      <patternFill patternType="solid">
        <fgColor theme="0"/>
      </patternFill>
    </fill>
    <fill>
      <patternFill patternType="solid">
        <fgColor rgb="FF0F172A"/>
      </patternFill>
    </fill>
    <fill>
      <patternFill patternType="solid">
        <fgColor rgb="FF1F4E78"/>
      </patternFill>
    </fill>
    <fill>
      <patternFill patternType="solid">
        <fgColor rgb="FFFFFFFF"/>
      </patternFill>
    </fill>
    <fill>
      <patternFill patternType="solid">
        <fgColor rgb="FFF1F5F9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/>
      <top style="thin">
        <color rgb="FFCBD5E1"/>
      </top>
      <bottom/>
      <diagonal/>
    </border>
    <border>
      <left/>
      <right/>
      <top style="thin">
        <color rgb="FFCBD5E1"/>
      </top>
      <bottom/>
      <diagonal/>
    </border>
    <border>
      <left/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/>
      <top/>
      <bottom/>
      <diagonal/>
    </border>
    <border>
      <left/>
      <right style="thin">
        <color rgb="FFCBD5E1"/>
      </right>
      <top/>
      <bottom/>
      <diagonal/>
    </border>
    <border>
      <left style="thin">
        <color rgb="FFCBD5E1"/>
      </left>
      <right/>
      <top/>
      <bottom style="thin">
        <color rgb="FFCBD5E1"/>
      </bottom>
      <diagonal/>
    </border>
    <border>
      <left/>
      <right/>
      <top/>
      <bottom style="thin">
        <color rgb="FFCBD5E1"/>
      </bottom>
      <diagonal/>
    </border>
    <border>
      <left/>
      <right style="thin">
        <color rgb="FFCBD5E1"/>
      </right>
      <top/>
      <bottom style="thin">
        <color rgb="FFCBD5E1"/>
      </bottom>
      <diagonal/>
    </border>
    <border>
      <left style="hair">
        <color rgb="FFE2E8F0"/>
      </left>
      <right style="hair">
        <color rgb="FFE2E8F0"/>
      </right>
      <top style="hair">
        <color rgb="FFE2E8F0"/>
      </top>
      <bottom style="hair">
        <color rgb="FFE2E8F0"/>
      </bottom>
      <diagonal/>
    </border>
    <border>
      <left style="thin">
        <color rgb="FFCBD5E1"/>
      </left>
      <right/>
      <top style="thin">
        <color rgb="FFCBD5E1"/>
      </top>
      <bottom style="thin">
        <color rgb="FFCBD5E1"/>
      </bottom>
      <diagonal/>
    </border>
    <border>
      <left/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thin">
        <color rgb="FFCBD5E1"/>
      </top>
      <bottom style="thin">
        <color rgb="FFCBD5E1"/>
      </bottom>
      <diagonal/>
    </border>
  </borders>
  <cellStyleXfs count="2">
    <xf numFmtId="0" fontId="0" fillId="0" borderId="0"/>
    <xf numFmtId="0" fontId="1" fillId="0" borderId="0"/>
  </cellStyleXfs>
  <cellXfs count="195">
    <xf numFmtId="0" fontId="0" fillId="0" borderId="0" xfId="0"/>
    <xf numFmtId="0" fontId="25" fillId="16" borderId="12" xfId="0" applyFont="1" applyFill="1" applyBorder="1" applyAlignment="1">
      <alignment horizontal="center" vertical="center" wrapText="1"/>
    </xf>
    <xf numFmtId="0" fontId="1" fillId="0" borderId="0" xfId="0" applyFont="1"/>
    <xf numFmtId="0" fontId="2" fillId="2" borderId="0" xfId="0" applyFont="1" applyFill="1" applyAlignment="1">
      <alignment vertical="center"/>
    </xf>
    <xf numFmtId="0" fontId="4" fillId="4" borderId="1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wrapText="1"/>
    </xf>
    <xf numFmtId="0" fontId="5" fillId="0" borderId="0" xfId="0" applyFont="1"/>
    <xf numFmtId="2" fontId="6" fillId="0" borderId="0" xfId="0" applyNumberFormat="1" applyFont="1" applyAlignment="1">
      <alignment horizontal="center" wrapText="1"/>
    </xf>
    <xf numFmtId="0" fontId="6" fillId="0" borderId="4" xfId="0" applyFont="1" applyBorder="1" applyAlignment="1">
      <alignment wrapText="1"/>
    </xf>
    <xf numFmtId="2" fontId="6" fillId="0" borderId="0" xfId="0" applyNumberFormat="1" applyFont="1" applyAlignment="1">
      <alignment wrapText="1"/>
    </xf>
    <xf numFmtId="0" fontId="7" fillId="5" borderId="0" xfId="0" applyFont="1" applyFill="1" applyAlignment="1">
      <alignment wrapText="1"/>
    </xf>
    <xf numFmtId="2" fontId="6" fillId="0" borderId="7" xfId="0" applyNumberFormat="1" applyFont="1" applyBorder="1" applyAlignment="1">
      <alignment horizontal="center" wrapText="1"/>
    </xf>
    <xf numFmtId="0" fontId="6" fillId="0" borderId="6" xfId="0" applyFont="1" applyBorder="1" applyAlignment="1">
      <alignment wrapText="1"/>
    </xf>
    <xf numFmtId="2" fontId="6" fillId="0" borderId="7" xfId="0" applyNumberFormat="1" applyFont="1" applyBorder="1" applyAlignment="1">
      <alignment wrapText="1"/>
    </xf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5" fillId="0" borderId="0" xfId="0" applyFont="1" applyAlignment="1">
      <alignment wrapText="1"/>
    </xf>
    <xf numFmtId="0" fontId="8" fillId="6" borderId="0" xfId="0" applyFont="1" applyFill="1" applyAlignment="1">
      <alignment horizontal="center" vertical="center" wrapText="1"/>
    </xf>
    <xf numFmtId="0" fontId="9" fillId="0" borderId="0" xfId="0" applyFont="1"/>
    <xf numFmtId="2" fontId="9" fillId="7" borderId="0" xfId="0" applyNumberFormat="1" applyFont="1" applyFill="1"/>
    <xf numFmtId="2" fontId="9" fillId="0" borderId="0" xfId="0" applyNumberFormat="1" applyFont="1"/>
    <xf numFmtId="0" fontId="10" fillId="3" borderId="0" xfId="0" applyFont="1" applyFill="1" applyAlignment="1">
      <alignment horizontal="center"/>
    </xf>
    <xf numFmtId="2" fontId="10" fillId="3" borderId="0" xfId="0" applyNumberFormat="1" applyFont="1" applyFill="1" applyAlignment="1">
      <alignment horizontal="center"/>
    </xf>
    <xf numFmtId="0" fontId="10" fillId="8" borderId="0" xfId="0" applyFont="1" applyFill="1" applyAlignment="1">
      <alignment horizontal="center"/>
    </xf>
    <xf numFmtId="2" fontId="10" fillId="8" borderId="0" xfId="0" applyNumberFormat="1" applyFont="1" applyFill="1" applyAlignment="1">
      <alignment horizontal="center"/>
    </xf>
    <xf numFmtId="0" fontId="12" fillId="2" borderId="0" xfId="0" applyFont="1" applyFill="1" applyAlignment="1">
      <alignment vertical="center" wrapText="1"/>
    </xf>
    <xf numFmtId="0" fontId="12" fillId="0" borderId="0" xfId="0" applyFont="1" applyAlignment="1">
      <alignment vertical="center" wrapText="1"/>
    </xf>
    <xf numFmtId="0" fontId="14" fillId="4" borderId="2" xfId="0" applyFont="1" applyFill="1" applyBorder="1" applyAlignment="1">
      <alignment horizontal="center" vertical="center" wrapText="1"/>
    </xf>
    <xf numFmtId="2" fontId="12" fillId="0" borderId="0" xfId="0" applyNumberFormat="1" applyFont="1" applyAlignment="1">
      <alignment horizontal="center" vertical="center" wrapText="1"/>
    </xf>
    <xf numFmtId="2" fontId="12" fillId="5" borderId="0" xfId="0" applyNumberFormat="1" applyFont="1" applyFill="1" applyAlignment="1">
      <alignment horizontal="center" vertical="center" wrapText="1"/>
    </xf>
    <xf numFmtId="2" fontId="12" fillId="0" borderId="7" xfId="0" applyNumberFormat="1" applyFont="1" applyBorder="1" applyAlignment="1">
      <alignment horizontal="center" vertical="center" wrapText="1"/>
    </xf>
    <xf numFmtId="0" fontId="15" fillId="6" borderId="9" xfId="0" applyFont="1" applyFill="1" applyBorder="1" applyAlignment="1">
      <alignment horizontal="center" vertical="center" wrapText="1"/>
    </xf>
    <xf numFmtId="0" fontId="15" fillId="6" borderId="9" xfId="0" applyFont="1" applyFill="1" applyBorder="1" applyAlignment="1">
      <alignment horizontal="left" vertical="center" wrapText="1"/>
    </xf>
    <xf numFmtId="0" fontId="12" fillId="10" borderId="0" xfId="0" applyFont="1" applyFill="1" applyAlignment="1">
      <alignment vertical="center" wrapText="1"/>
    </xf>
    <xf numFmtId="1" fontId="16" fillId="0" borderId="9" xfId="0" applyNumberFormat="1" applyFont="1" applyBorder="1" applyAlignment="1">
      <alignment horizontal="center" vertical="center" wrapText="1"/>
    </xf>
    <xf numFmtId="2" fontId="16" fillId="11" borderId="9" xfId="0" applyNumberFormat="1" applyFont="1" applyFill="1" applyBorder="1" applyAlignment="1">
      <alignment horizontal="center" vertical="center" wrapText="1"/>
    </xf>
    <xf numFmtId="2" fontId="16" fillId="0" borderId="9" xfId="0" applyNumberFormat="1" applyFont="1" applyBorder="1" applyAlignment="1">
      <alignment horizontal="left" vertical="center" wrapText="1"/>
    </xf>
    <xf numFmtId="4" fontId="16" fillId="0" borderId="9" xfId="0" applyNumberFormat="1" applyFont="1" applyBorder="1" applyAlignment="1">
      <alignment horizontal="center" vertical="center" wrapText="1"/>
    </xf>
    <xf numFmtId="2" fontId="16" fillId="0" borderId="9" xfId="0" applyNumberFormat="1" applyFont="1" applyBorder="1" applyAlignment="1">
      <alignment horizontal="center" vertical="center" wrapText="1"/>
    </xf>
    <xf numFmtId="2" fontId="12" fillId="10" borderId="0" xfId="0" applyNumberFormat="1" applyFont="1" applyFill="1" applyAlignment="1">
      <alignment vertical="center" wrapText="1"/>
    </xf>
    <xf numFmtId="1" fontId="17" fillId="12" borderId="9" xfId="0" applyNumberFormat="1" applyFont="1" applyFill="1" applyBorder="1" applyAlignment="1">
      <alignment horizontal="center" vertical="center" wrapText="1"/>
    </xf>
    <xf numFmtId="2" fontId="17" fillId="12" borderId="9" xfId="0" applyNumberFormat="1" applyFont="1" applyFill="1" applyBorder="1" applyAlignment="1">
      <alignment horizontal="center" vertical="center" wrapText="1"/>
    </xf>
    <xf numFmtId="2" fontId="17" fillId="12" borderId="9" xfId="0" applyNumberFormat="1" applyFont="1" applyFill="1" applyBorder="1" applyAlignment="1">
      <alignment horizontal="left" vertical="center" wrapText="1"/>
    </xf>
    <xf numFmtId="4" fontId="17" fillId="12" borderId="9" xfId="0" applyNumberFormat="1" applyFont="1" applyFill="1" applyBorder="1" applyAlignment="1">
      <alignment horizontal="center" vertical="center" wrapText="1"/>
    </xf>
    <xf numFmtId="1" fontId="17" fillId="13" borderId="9" xfId="0" applyNumberFormat="1" applyFont="1" applyFill="1" applyBorder="1" applyAlignment="1">
      <alignment horizontal="center" vertical="center" wrapText="1"/>
    </xf>
    <xf numFmtId="2" fontId="17" fillId="13" borderId="9" xfId="0" applyNumberFormat="1" applyFont="1" applyFill="1" applyBorder="1" applyAlignment="1">
      <alignment horizontal="center" vertical="center" wrapText="1"/>
    </xf>
    <xf numFmtId="2" fontId="17" fillId="13" borderId="9" xfId="0" applyNumberFormat="1" applyFont="1" applyFill="1" applyBorder="1" applyAlignment="1">
      <alignment horizontal="left" vertical="center" wrapText="1"/>
    </xf>
    <xf numFmtId="4" fontId="17" fillId="13" borderId="9" xfId="0" applyNumberFormat="1" applyFont="1" applyFill="1" applyBorder="1" applyAlignment="1">
      <alignment horizontal="center" vertical="center" wrapText="1"/>
    </xf>
    <xf numFmtId="0" fontId="0" fillId="10" borderId="0" xfId="0" applyFill="1"/>
    <xf numFmtId="0" fontId="19" fillId="4" borderId="2" xfId="0" applyFont="1" applyFill="1" applyBorder="1" applyAlignment="1">
      <alignment horizontal="center" vertical="center" wrapText="1"/>
    </xf>
    <xf numFmtId="0" fontId="16" fillId="6" borderId="9" xfId="0" applyFont="1" applyFill="1" applyBorder="1" applyAlignment="1">
      <alignment horizontal="center" vertical="center" wrapText="1"/>
    </xf>
    <xf numFmtId="0" fontId="16" fillId="6" borderId="9" xfId="0" applyFont="1" applyFill="1" applyBorder="1" applyAlignment="1">
      <alignment horizontal="left" vertical="center" wrapText="1"/>
    </xf>
    <xf numFmtId="1" fontId="17" fillId="13" borderId="10" xfId="0" applyNumberFormat="1" applyFont="1" applyFill="1" applyBorder="1" applyAlignment="1">
      <alignment horizontal="center" vertical="center" wrapText="1"/>
    </xf>
    <xf numFmtId="2" fontId="17" fillId="13" borderId="10" xfId="0" applyNumberFormat="1" applyFont="1" applyFill="1" applyBorder="1" applyAlignment="1">
      <alignment horizontal="center" vertical="center" wrapText="1"/>
    </xf>
    <xf numFmtId="2" fontId="17" fillId="13" borderId="10" xfId="0" applyNumberFormat="1" applyFont="1" applyFill="1" applyBorder="1" applyAlignment="1">
      <alignment horizontal="left" vertical="center" wrapText="1"/>
    </xf>
    <xf numFmtId="4" fontId="17" fillId="13" borderId="10" xfId="0" applyNumberFormat="1" applyFont="1" applyFill="1" applyBorder="1" applyAlignment="1">
      <alignment horizontal="center" vertical="center" wrapText="1"/>
    </xf>
    <xf numFmtId="1" fontId="20" fillId="10" borderId="0" xfId="0" applyNumberFormat="1" applyFont="1" applyFill="1" applyAlignment="1">
      <alignment horizontal="center" vertical="center" wrapText="1"/>
    </xf>
    <xf numFmtId="2" fontId="20" fillId="10" borderId="0" xfId="0" applyNumberFormat="1" applyFont="1" applyFill="1" applyAlignment="1">
      <alignment horizontal="center" vertical="center" wrapText="1"/>
    </xf>
    <xf numFmtId="2" fontId="20" fillId="10" borderId="0" xfId="0" applyNumberFormat="1" applyFont="1" applyFill="1" applyAlignment="1">
      <alignment horizontal="left" vertical="center" wrapText="1"/>
    </xf>
    <xf numFmtId="4" fontId="20" fillId="10" borderId="0" xfId="0" applyNumberFormat="1" applyFont="1" applyFill="1" applyAlignment="1">
      <alignment horizontal="center" vertical="center" wrapText="1"/>
    </xf>
    <xf numFmtId="2" fontId="21" fillId="10" borderId="0" xfId="0" applyNumberFormat="1" applyFont="1" applyFill="1" applyAlignment="1">
      <alignment vertical="center" wrapText="1"/>
    </xf>
    <xf numFmtId="0" fontId="21" fillId="10" borderId="0" xfId="0" applyFont="1" applyFill="1" applyAlignment="1">
      <alignment vertical="center" wrapText="1"/>
    </xf>
    <xf numFmtId="0" fontId="22" fillId="10" borderId="0" xfId="0" applyFont="1" applyFill="1"/>
    <xf numFmtId="0" fontId="25" fillId="16" borderId="13" xfId="0" applyFont="1" applyFill="1" applyBorder="1" applyAlignment="1">
      <alignment vertical="center" wrapText="1"/>
    </xf>
    <xf numFmtId="0" fontId="25" fillId="10" borderId="0" xfId="0" applyFont="1" applyFill="1" applyAlignment="1">
      <alignment vertical="center" wrapText="1"/>
    </xf>
    <xf numFmtId="2" fontId="26" fillId="11" borderId="9" xfId="0" applyNumberFormat="1" applyFont="1" applyFill="1" applyBorder="1" applyAlignment="1">
      <alignment horizontal="center" vertical="center" wrapText="1"/>
    </xf>
    <xf numFmtId="0" fontId="26" fillId="17" borderId="15" xfId="0" applyFont="1" applyFill="1" applyBorder="1" applyAlignment="1">
      <alignment vertical="center" wrapText="1"/>
    </xf>
    <xf numFmtId="0" fontId="26" fillId="10" borderId="0" xfId="0" applyFont="1" applyFill="1" applyAlignment="1">
      <alignment vertical="center" wrapText="1"/>
    </xf>
    <xf numFmtId="0" fontId="27" fillId="0" borderId="0" xfId="0" applyFont="1"/>
    <xf numFmtId="49" fontId="26" fillId="11" borderId="9" xfId="0" applyNumberFormat="1" applyFont="1" applyFill="1" applyBorder="1" applyAlignment="1">
      <alignment horizontal="center" vertical="center" wrapText="1"/>
    </xf>
    <xf numFmtId="2" fontId="26" fillId="11" borderId="17" xfId="0" applyNumberFormat="1" applyFont="1" applyFill="1" applyBorder="1" applyAlignment="1">
      <alignment horizontal="center" vertical="center" wrapText="1"/>
    </xf>
    <xf numFmtId="49" fontId="26" fillId="11" borderId="17" xfId="0" applyNumberFormat="1" applyFont="1" applyFill="1" applyBorder="1" applyAlignment="1">
      <alignment horizontal="center" vertical="center" wrapText="1"/>
    </xf>
    <xf numFmtId="0" fontId="26" fillId="17" borderId="18" xfId="0" applyFont="1" applyFill="1" applyBorder="1" applyAlignment="1">
      <alignment vertical="center" wrapText="1"/>
    </xf>
    <xf numFmtId="0" fontId="25" fillId="6" borderId="9" xfId="0" applyFont="1" applyFill="1" applyBorder="1" applyAlignment="1">
      <alignment horizontal="center" vertical="center" wrapText="1"/>
    </xf>
    <xf numFmtId="2" fontId="25" fillId="6" borderId="9" xfId="0" applyNumberFormat="1" applyFont="1" applyFill="1" applyBorder="1" applyAlignment="1">
      <alignment horizontal="center" vertical="center" wrapText="1"/>
    </xf>
    <xf numFmtId="2" fontId="28" fillId="0" borderId="9" xfId="0" applyNumberFormat="1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  <xf numFmtId="2" fontId="29" fillId="17" borderId="9" xfId="0" applyNumberFormat="1" applyFont="1" applyFill="1" applyBorder="1" applyAlignment="1">
      <alignment horizontal="center" vertical="center" wrapText="1"/>
    </xf>
    <xf numFmtId="0" fontId="29" fillId="17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2" fontId="1" fillId="0" borderId="0" xfId="0" applyNumberFormat="1" applyFont="1" applyAlignment="1">
      <alignment vertical="center" wrapText="1"/>
    </xf>
    <xf numFmtId="0" fontId="30" fillId="13" borderId="0" xfId="0" applyFont="1" applyFill="1" applyAlignment="1">
      <alignment vertical="center" wrapText="1"/>
    </xf>
    <xf numFmtId="2" fontId="30" fillId="13" borderId="0" xfId="0" applyNumberFormat="1" applyFont="1" applyFill="1" applyAlignment="1">
      <alignment vertical="center" wrapText="1"/>
    </xf>
    <xf numFmtId="0" fontId="31" fillId="18" borderId="0" xfId="0" applyFont="1" applyFill="1" applyAlignment="1">
      <alignment vertical="center" wrapText="1"/>
    </xf>
    <xf numFmtId="0" fontId="32" fillId="0" borderId="0" xfId="0" applyFont="1" applyAlignment="1">
      <alignment vertical="center"/>
    </xf>
    <xf numFmtId="0" fontId="25" fillId="21" borderId="19" xfId="0" applyFont="1" applyFill="1" applyBorder="1" applyAlignment="1">
      <alignment horizontal="center" vertical="center"/>
    </xf>
    <xf numFmtId="2" fontId="32" fillId="0" borderId="19" xfId="0" applyNumberFormat="1" applyFont="1" applyBorder="1" applyAlignment="1">
      <alignment horizontal="right" vertical="center" wrapText="1"/>
    </xf>
    <xf numFmtId="2" fontId="32" fillId="22" borderId="19" xfId="0" applyNumberFormat="1" applyFont="1" applyFill="1" applyBorder="1" applyAlignment="1">
      <alignment horizontal="right" vertical="center" wrapText="1"/>
    </xf>
    <xf numFmtId="1" fontId="32" fillId="0" borderId="19" xfId="0" applyNumberFormat="1" applyFont="1" applyBorder="1" applyAlignment="1">
      <alignment horizontal="right" vertical="center" wrapText="1"/>
    </xf>
    <xf numFmtId="0" fontId="33" fillId="24" borderId="0" xfId="0" applyFont="1" applyFill="1" applyAlignment="1">
      <alignment horizontal="center" vertical="center" wrapText="1"/>
    </xf>
    <xf numFmtId="0" fontId="32" fillId="0" borderId="28" xfId="0" applyFont="1" applyBorder="1" applyAlignment="1">
      <alignment vertical="center" wrapText="1"/>
    </xf>
    <xf numFmtId="0" fontId="32" fillId="0" borderId="28" xfId="0" applyFont="1" applyBorder="1" applyAlignment="1">
      <alignment horizontal="center" vertical="center"/>
    </xf>
    <xf numFmtId="4" fontId="32" fillId="0" borderId="28" xfId="0" applyNumberFormat="1" applyFont="1" applyBorder="1" applyAlignment="1">
      <alignment horizontal="right" vertical="center"/>
    </xf>
    <xf numFmtId="0" fontId="34" fillId="20" borderId="28" xfId="0" applyFont="1" applyFill="1" applyBorder="1" applyAlignment="1">
      <alignment horizontal="center" vertical="center"/>
    </xf>
    <xf numFmtId="0" fontId="34" fillId="20" borderId="28" xfId="0" applyFont="1" applyFill="1" applyBorder="1" applyAlignment="1">
      <alignment vertical="center" wrapText="1"/>
    </xf>
    <xf numFmtId="4" fontId="34" fillId="20" borderId="28" xfId="0" applyNumberFormat="1" applyFont="1" applyFill="1" applyBorder="1" applyAlignment="1">
      <alignment horizontal="right" vertical="center"/>
    </xf>
    <xf numFmtId="0" fontId="34" fillId="25" borderId="28" xfId="0" applyFont="1" applyFill="1" applyBorder="1" applyAlignment="1">
      <alignment horizontal="center" vertical="center"/>
    </xf>
    <xf numFmtId="0" fontId="34" fillId="25" borderId="28" xfId="0" applyFont="1" applyFill="1" applyBorder="1" applyAlignment="1">
      <alignment vertical="center" wrapText="1"/>
    </xf>
    <xf numFmtId="4" fontId="34" fillId="25" borderId="28" xfId="0" applyNumberFormat="1" applyFont="1" applyFill="1" applyBorder="1" applyAlignment="1">
      <alignment horizontal="right" vertical="center"/>
    </xf>
    <xf numFmtId="0" fontId="23" fillId="26" borderId="0" xfId="0" applyFont="1" applyFill="1" applyAlignment="1">
      <alignment vertical="center"/>
    </xf>
    <xf numFmtId="0" fontId="35" fillId="0" borderId="0" xfId="0" applyFont="1"/>
    <xf numFmtId="0" fontId="23" fillId="28" borderId="0" xfId="0" applyFont="1" applyFill="1" applyAlignment="1">
      <alignment horizontal="center" vertical="center"/>
    </xf>
    <xf numFmtId="0" fontId="37" fillId="29" borderId="26" xfId="0" applyFont="1" applyFill="1" applyBorder="1" applyAlignment="1">
      <alignment horizontal="center" vertical="center"/>
    </xf>
    <xf numFmtId="0" fontId="35" fillId="29" borderId="26" xfId="0" applyFont="1" applyFill="1" applyBorder="1" applyAlignment="1">
      <alignment horizontal="left" vertical="center" wrapText="1"/>
    </xf>
    <xf numFmtId="0" fontId="37" fillId="30" borderId="26" xfId="0" applyFont="1" applyFill="1" applyBorder="1" applyAlignment="1">
      <alignment horizontal="center" vertical="center"/>
    </xf>
    <xf numFmtId="0" fontId="35" fillId="30" borderId="26" xfId="0" applyFont="1" applyFill="1" applyBorder="1" applyAlignment="1">
      <alignment horizontal="left" vertical="center" wrapText="1"/>
    </xf>
    <xf numFmtId="0" fontId="25" fillId="28" borderId="0" xfId="0" applyFont="1" applyFill="1" applyAlignment="1">
      <alignment horizontal="center" vertical="center"/>
    </xf>
    <xf numFmtId="0" fontId="38" fillId="29" borderId="26" xfId="0" applyFont="1" applyFill="1" applyBorder="1" applyAlignment="1">
      <alignment horizontal="center" vertical="center"/>
    </xf>
    <xf numFmtId="0" fontId="38" fillId="29" borderId="26" xfId="0" applyFont="1" applyFill="1" applyBorder="1" applyAlignment="1">
      <alignment horizontal="left" vertical="center" wrapText="1"/>
    </xf>
    <xf numFmtId="0" fontId="39" fillId="29" borderId="26" xfId="0" applyFont="1" applyFill="1" applyBorder="1" applyAlignment="1">
      <alignment horizontal="left" vertical="center" wrapText="1"/>
    </xf>
    <xf numFmtId="0" fontId="38" fillId="30" borderId="26" xfId="0" applyFont="1" applyFill="1" applyBorder="1" applyAlignment="1">
      <alignment horizontal="center" vertical="center"/>
    </xf>
    <xf numFmtId="0" fontId="38" fillId="30" borderId="26" xfId="0" applyFont="1" applyFill="1" applyBorder="1" applyAlignment="1">
      <alignment horizontal="left" vertical="center" wrapText="1"/>
    </xf>
    <xf numFmtId="0" fontId="39" fillId="30" borderId="26" xfId="0" applyFont="1" applyFill="1" applyBorder="1" applyAlignment="1">
      <alignment horizontal="left" vertical="center" wrapText="1"/>
    </xf>
    <xf numFmtId="0" fontId="28" fillId="23" borderId="23" xfId="0" applyFont="1" applyFill="1" applyBorder="1" applyAlignment="1">
      <alignment vertical="center" wrapText="1"/>
    </xf>
    <xf numFmtId="0" fontId="28" fillId="23" borderId="0" xfId="0" applyFont="1" applyFill="1" applyAlignment="1">
      <alignment vertical="center" wrapText="1"/>
    </xf>
    <xf numFmtId="0" fontId="36" fillId="27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11" fillId="9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8" fillId="9" borderId="0" xfId="0" applyFont="1" applyFill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 wrapText="1"/>
    </xf>
    <xf numFmtId="0" fontId="26" fillId="17" borderId="14" xfId="0" applyFont="1" applyFill="1" applyBorder="1" applyAlignment="1">
      <alignment horizontal="center" vertical="center" wrapText="1"/>
    </xf>
    <xf numFmtId="0" fontId="23" fillId="14" borderId="0" xfId="0" applyFont="1" applyFill="1" applyAlignment="1">
      <alignment horizontal="center" vertical="center" wrapText="1"/>
    </xf>
    <xf numFmtId="0" fontId="24" fillId="15" borderId="0" xfId="0" applyFont="1" applyFill="1" applyAlignment="1">
      <alignment horizontal="left" vertical="center" wrapText="1"/>
    </xf>
    <xf numFmtId="0" fontId="25" fillId="16" borderId="11" xfId="0" applyFont="1" applyFill="1" applyBorder="1" applyAlignment="1">
      <alignment horizontal="center" vertical="center" wrapText="1"/>
    </xf>
    <xf numFmtId="0" fontId="25" fillId="16" borderId="12" xfId="0" applyFont="1" applyFill="1" applyBorder="1" applyAlignment="1">
      <alignment horizontal="center" vertical="center" wrapText="1"/>
    </xf>
    <xf numFmtId="0" fontId="26" fillId="17" borderId="9" xfId="0" applyFont="1" applyFill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left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17" borderId="16" xfId="0" applyFont="1" applyFill="1" applyBorder="1" applyAlignment="1">
      <alignment horizontal="center" vertical="center" wrapText="1"/>
    </xf>
    <xf numFmtId="0" fontId="26" fillId="17" borderId="17" xfId="0" applyFont="1" applyFill="1" applyBorder="1" applyAlignment="1">
      <alignment horizontal="center" vertical="center" wrapText="1"/>
    </xf>
    <xf numFmtId="0" fontId="2" fillId="19" borderId="0" xfId="0" applyFont="1" applyFill="1" applyAlignment="1">
      <alignment horizontal="center" vertical="center"/>
    </xf>
    <xf numFmtId="0" fontId="25" fillId="21" borderId="19" xfId="0" applyFont="1" applyFill="1" applyBorder="1" applyAlignment="1">
      <alignment horizontal="center" vertical="center"/>
    </xf>
    <xf numFmtId="0" fontId="25" fillId="21" borderId="29" xfId="0" applyFont="1" applyFill="1" applyBorder="1" applyAlignment="1">
      <alignment horizontal="center" vertical="center"/>
    </xf>
    <xf numFmtId="0" fontId="25" fillId="21" borderId="30" xfId="0" applyFont="1" applyFill="1" applyBorder="1" applyAlignment="1">
      <alignment horizontal="center" vertical="center"/>
    </xf>
    <xf numFmtId="4" fontId="32" fillId="0" borderId="19" xfId="0" applyNumberFormat="1" applyFont="1" applyBorder="1" applyAlignment="1">
      <alignment horizontal="right" vertical="center" wrapText="1"/>
    </xf>
    <xf numFmtId="0" fontId="32" fillId="0" borderId="19" xfId="0" applyFont="1" applyBorder="1" applyAlignment="1">
      <alignment vertical="center" wrapText="1"/>
    </xf>
    <xf numFmtId="0" fontId="23" fillId="21" borderId="26" xfId="0" applyFont="1" applyFill="1" applyBorder="1" applyAlignment="1">
      <alignment horizontal="center" vertical="center"/>
    </xf>
    <xf numFmtId="4" fontId="32" fillId="0" borderId="19" xfId="0" applyNumberFormat="1" applyFont="1" applyBorder="1" applyAlignment="1">
      <alignment horizontal="center" vertical="center"/>
    </xf>
    <xf numFmtId="0" fontId="33" fillId="24" borderId="19" xfId="0" applyFont="1" applyFill="1" applyBorder="1" applyAlignment="1">
      <alignment horizontal="center" vertical="center" wrapText="1"/>
    </xf>
    <xf numFmtId="0" fontId="32" fillId="0" borderId="29" xfId="0" applyFont="1" applyBorder="1" applyAlignment="1">
      <alignment horizontal="center" vertical="center"/>
    </xf>
    <xf numFmtId="0" fontId="32" fillId="0" borderId="31" xfId="0" applyFont="1" applyBorder="1" applyAlignment="1">
      <alignment horizontal="center" vertical="center"/>
    </xf>
    <xf numFmtId="0" fontId="32" fillId="0" borderId="30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2" fillId="0" borderId="29" xfId="0" applyFont="1" applyBorder="1" applyAlignment="1">
      <alignment horizontal="center" vertical="center" wrapText="1"/>
    </xf>
    <xf numFmtId="0" fontId="32" fillId="0" borderId="30" xfId="0" applyFont="1" applyBorder="1" applyAlignment="1">
      <alignment horizontal="center" vertical="center" wrapText="1"/>
    </xf>
    <xf numFmtId="0" fontId="33" fillId="24" borderId="29" xfId="0" applyFont="1" applyFill="1" applyBorder="1" applyAlignment="1">
      <alignment horizontal="center" vertical="center" wrapText="1"/>
    </xf>
    <xf numFmtId="0" fontId="33" fillId="24" borderId="31" xfId="0" applyFont="1" applyFill="1" applyBorder="1" applyAlignment="1">
      <alignment horizontal="center" vertical="center" wrapText="1"/>
    </xf>
    <xf numFmtId="0" fontId="33" fillId="24" borderId="30" xfId="0" applyFont="1" applyFill="1" applyBorder="1" applyAlignment="1">
      <alignment horizontal="center" vertical="center" wrapText="1"/>
    </xf>
    <xf numFmtId="4" fontId="32" fillId="0" borderId="19" xfId="0" applyNumberFormat="1" applyFont="1" applyBorder="1" applyAlignment="1">
      <alignment horizontal="right" vertical="center"/>
    </xf>
    <xf numFmtId="0" fontId="25" fillId="21" borderId="25" xfId="0" applyFont="1" applyFill="1" applyBorder="1" applyAlignment="1">
      <alignment horizontal="center" vertical="center"/>
    </xf>
    <xf numFmtId="0" fontId="25" fillId="21" borderId="26" xfId="0" applyFont="1" applyFill="1" applyBorder="1" applyAlignment="1">
      <alignment horizontal="center" vertical="center"/>
    </xf>
    <xf numFmtId="0" fontId="28" fillId="23" borderId="20" xfId="0" applyFont="1" applyFill="1" applyBorder="1" applyAlignment="1">
      <alignment horizontal="center" vertical="center" wrapText="1"/>
    </xf>
    <xf numFmtId="0" fontId="28" fillId="23" borderId="21" xfId="0" applyFont="1" applyFill="1" applyBorder="1" applyAlignment="1">
      <alignment horizontal="center" vertical="center" wrapText="1"/>
    </xf>
    <xf numFmtId="0" fontId="28" fillId="23" borderId="23" xfId="0" applyFont="1" applyFill="1" applyBorder="1" applyAlignment="1">
      <alignment horizontal="center" vertical="center" wrapText="1"/>
    </xf>
    <xf numFmtId="0" fontId="28" fillId="23" borderId="0" xfId="0" applyFont="1" applyFill="1" applyBorder="1" applyAlignment="1">
      <alignment horizontal="center" vertical="center" wrapText="1"/>
    </xf>
    <xf numFmtId="0" fontId="28" fillId="23" borderId="25" xfId="0" applyFont="1" applyFill="1" applyBorder="1" applyAlignment="1">
      <alignment horizontal="center" vertical="center" wrapText="1"/>
    </xf>
    <xf numFmtId="0" fontId="28" fillId="23" borderId="26" xfId="0" applyFont="1" applyFill="1" applyBorder="1" applyAlignment="1">
      <alignment horizontal="center" vertical="center" wrapText="1"/>
    </xf>
    <xf numFmtId="0" fontId="25" fillId="31" borderId="0" xfId="0" applyFont="1" applyFill="1" applyBorder="1" applyAlignment="1">
      <alignment vertical="center"/>
    </xf>
    <xf numFmtId="0" fontId="28" fillId="31" borderId="0" xfId="0" applyFont="1" applyFill="1" applyBorder="1" applyAlignment="1">
      <alignment vertical="center" wrapText="1"/>
    </xf>
    <xf numFmtId="0" fontId="28" fillId="20" borderId="0" xfId="0" applyFont="1" applyFill="1" applyAlignment="1">
      <alignment horizontal="center" vertical="center" wrapText="1"/>
    </xf>
    <xf numFmtId="0" fontId="2" fillId="31" borderId="0" xfId="0" applyFont="1" applyFill="1" applyAlignment="1">
      <alignment vertical="center"/>
    </xf>
    <xf numFmtId="0" fontId="28" fillId="31" borderId="0" xfId="0" applyFont="1" applyFill="1" applyAlignment="1">
      <alignment vertical="center" wrapText="1"/>
    </xf>
    <xf numFmtId="0" fontId="25" fillId="31" borderId="0" xfId="0" applyFont="1" applyFill="1" applyAlignment="1">
      <alignment vertical="center"/>
    </xf>
    <xf numFmtId="0" fontId="0" fillId="31" borderId="0" xfId="0" applyFill="1"/>
    <xf numFmtId="0" fontId="28" fillId="31" borderId="21" xfId="0" applyFont="1" applyFill="1" applyBorder="1" applyAlignment="1">
      <alignment vertical="center" wrapText="1"/>
    </xf>
    <xf numFmtId="0" fontId="28" fillId="31" borderId="22" xfId="0" applyFont="1" applyFill="1" applyBorder="1" applyAlignment="1">
      <alignment vertical="center" wrapText="1"/>
    </xf>
    <xf numFmtId="0" fontId="28" fillId="31" borderId="24" xfId="0" applyFont="1" applyFill="1" applyBorder="1" applyAlignment="1">
      <alignment vertical="center" wrapText="1"/>
    </xf>
    <xf numFmtId="0" fontId="28" fillId="31" borderId="26" xfId="0" applyFont="1" applyFill="1" applyBorder="1" applyAlignment="1">
      <alignment vertical="center" wrapText="1"/>
    </xf>
    <xf numFmtId="0" fontId="28" fillId="31" borderId="27" xfId="0" applyFont="1" applyFill="1" applyBorder="1" applyAlignment="1">
      <alignment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796B"/>
      <rgbColor rgb="FFD9EAD3"/>
      <rgbColor rgb="FF808080"/>
      <rgbColor rgb="FF9999FF"/>
      <rgbColor rgb="FF993366"/>
      <rgbColor rgb="FFFEF3C7"/>
      <rgbColor rgb="FFDDEBF7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F766E"/>
      <rgbColor rgb="FF0000FF"/>
      <rgbColor rgb="FF00CCFF"/>
      <rgbColor rgb="FFE8F0FA"/>
      <rgbColor rgb="FFE2F0D9"/>
      <rgbColor rgb="FFFFF2CC"/>
      <rgbColor rgb="FFE2E8F0"/>
      <rgbColor rgb="FFFEE2E2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7365D"/>
      <rgbColor rgb="FF339966"/>
      <rgbColor rgb="FF0B1F33"/>
      <rgbColor rgb="FF333300"/>
      <rgbColor rgb="FF993300"/>
      <rgbColor rgb="FF993366"/>
      <rgbColor rgb="FF1F4E78"/>
      <rgbColor rgb="FF0F172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F766E"/>
  </sheetPr>
  <dimension ref="A1:C12"/>
  <sheetViews>
    <sheetView showGridLines="0" workbookViewId="0">
      <pane ySplit="3" topLeftCell="A4" activePane="bottomLeft" state="frozen"/>
      <selection pane="bottomLeft" activeCell="B4" sqref="B4"/>
    </sheetView>
  </sheetViews>
  <sheetFormatPr defaultRowHeight="12.75" x14ac:dyDescent="0.2"/>
  <cols>
    <col min="1" max="1" width="18" customWidth="1"/>
    <col min="2" max="2" width="52" customWidth="1"/>
    <col min="3" max="3" width="130" customWidth="1"/>
  </cols>
  <sheetData>
    <row r="1" spans="1:3" ht="30" customHeight="1" x14ac:dyDescent="0.2">
      <c r="A1" s="118" t="s">
        <v>333</v>
      </c>
      <c r="B1" s="118"/>
      <c r="C1" s="118"/>
    </row>
    <row r="2" spans="1:3" ht="8.1" customHeight="1" x14ac:dyDescent="0.25">
      <c r="A2" s="103"/>
      <c r="B2" s="103"/>
      <c r="C2" s="103"/>
    </row>
    <row r="3" spans="1:3" ht="29.1" customHeight="1" x14ac:dyDescent="0.2">
      <c r="A3" s="104" t="s">
        <v>334</v>
      </c>
      <c r="B3" s="104" t="s">
        <v>394</v>
      </c>
      <c r="C3" s="104" t="s">
        <v>335</v>
      </c>
    </row>
    <row r="4" spans="1:3" ht="63.95" customHeight="1" x14ac:dyDescent="0.2">
      <c r="A4" s="105" t="s">
        <v>336</v>
      </c>
      <c r="B4" s="106" t="s">
        <v>254</v>
      </c>
      <c r="C4" s="106" t="s">
        <v>337</v>
      </c>
    </row>
    <row r="5" spans="1:3" ht="63.95" customHeight="1" x14ac:dyDescent="0.2">
      <c r="A5" s="107" t="s">
        <v>338</v>
      </c>
      <c r="B5" s="108" t="s">
        <v>321</v>
      </c>
      <c r="C5" s="108" t="s">
        <v>339</v>
      </c>
    </row>
    <row r="6" spans="1:3" ht="63.95" customHeight="1" x14ac:dyDescent="0.2">
      <c r="A6" s="105" t="s">
        <v>340</v>
      </c>
      <c r="B6" s="106" t="s">
        <v>326</v>
      </c>
      <c r="C6" s="106" t="s">
        <v>341</v>
      </c>
    </row>
    <row r="7" spans="1:3" ht="63.95" customHeight="1" x14ac:dyDescent="0.2">
      <c r="A7" s="107" t="s">
        <v>342</v>
      </c>
      <c r="B7" s="108" t="s">
        <v>331</v>
      </c>
      <c r="C7" s="108" t="s">
        <v>343</v>
      </c>
    </row>
    <row r="8" spans="1:3" ht="63.95" customHeight="1" x14ac:dyDescent="0.2">
      <c r="A8" s="105" t="s">
        <v>344</v>
      </c>
      <c r="B8" s="106" t="s">
        <v>0</v>
      </c>
      <c r="C8" s="106" t="s">
        <v>345</v>
      </c>
    </row>
    <row r="9" spans="1:3" ht="63.95" customHeight="1" x14ac:dyDescent="0.2">
      <c r="A9" s="107" t="s">
        <v>346</v>
      </c>
      <c r="B9" s="108" t="s">
        <v>104</v>
      </c>
      <c r="C9" s="108" t="s">
        <v>347</v>
      </c>
    </row>
    <row r="10" spans="1:3" ht="63.95" customHeight="1" x14ac:dyDescent="0.2">
      <c r="A10" s="105" t="s">
        <v>348</v>
      </c>
      <c r="B10" s="106" t="s">
        <v>165</v>
      </c>
      <c r="C10" s="106" t="s">
        <v>349</v>
      </c>
    </row>
    <row r="11" spans="1:3" ht="63.95" customHeight="1" x14ac:dyDescent="0.2">
      <c r="A11" s="107" t="s">
        <v>350</v>
      </c>
      <c r="B11" s="108" t="s">
        <v>173</v>
      </c>
      <c r="C11" s="108" t="s">
        <v>351</v>
      </c>
    </row>
    <row r="12" spans="1:3" ht="63.95" customHeight="1" x14ac:dyDescent="0.2">
      <c r="A12" s="105" t="s">
        <v>352</v>
      </c>
      <c r="B12" s="106" t="s">
        <v>240</v>
      </c>
      <c r="C12" s="106" t="s">
        <v>353</v>
      </c>
    </row>
  </sheetData>
  <sheetProtection algorithmName="SHA-512" hashValue="bf8ed36TcqeuHEGYsvpRNfTkiZ0gvR2mkF+uIHwMPKqN02et90cZJfnUIBdyVpvsWQ9DJ8q7NwfQaTd3sqZhIQ==" saltValue="A0ifucZeS23dh2m7nFjqBQ==" spinCount="100000" sheet="1" objects="1" scenarios="1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44"/>
  <sheetViews>
    <sheetView workbookViewId="0">
      <selection activeCell="I22" sqref="I22"/>
    </sheetView>
  </sheetViews>
  <sheetFormatPr defaultColWidth="8.7109375" defaultRowHeight="15" x14ac:dyDescent="0.25"/>
  <cols>
    <col min="1" max="1" width="6.28515625" style="2" customWidth="1"/>
    <col min="2" max="2" width="16" style="2" customWidth="1"/>
    <col min="3" max="3" width="28" style="2" customWidth="1"/>
    <col min="4" max="4" width="13" style="2" customWidth="1"/>
    <col min="5" max="5" width="18" style="2" customWidth="1"/>
    <col min="6" max="6" width="17.85546875" style="2" customWidth="1"/>
    <col min="7" max="7" width="26.5703125" style="2" customWidth="1"/>
    <col min="8" max="8" width="11" style="2" customWidth="1"/>
    <col min="9" max="9" width="12" style="2" customWidth="1"/>
    <col min="10" max="10" width="14" style="2" customWidth="1"/>
    <col min="11" max="12" width="13" style="2" customWidth="1"/>
    <col min="13" max="13" width="15" style="2" customWidth="1"/>
    <col min="14" max="14" width="13" style="2" customWidth="1"/>
    <col min="15" max="15" width="12" style="2" customWidth="1"/>
    <col min="16" max="16" width="13" style="2" customWidth="1"/>
    <col min="17" max="17" width="14" style="2" customWidth="1"/>
    <col min="18" max="18" width="12" style="2" customWidth="1"/>
    <col min="19" max="19" width="14" style="2" customWidth="1"/>
    <col min="20" max="20" width="12" style="2" customWidth="1"/>
    <col min="21" max="21" width="10" style="2" customWidth="1"/>
    <col min="22" max="22" width="12" style="2" customWidth="1"/>
    <col min="23" max="26" width="13" style="2" customWidth="1"/>
    <col min="27" max="27" width="14" style="2" customWidth="1"/>
    <col min="28" max="28" width="13" style="2" customWidth="1"/>
    <col min="29" max="29" width="12" style="2" customWidth="1"/>
    <col min="30" max="30" width="13" style="2" customWidth="1"/>
    <col min="31" max="31" width="16" style="2" customWidth="1"/>
    <col min="32" max="32" width="14" style="2" customWidth="1"/>
    <col min="33" max="33" width="18" style="2" customWidth="1"/>
    <col min="34" max="34" width="12" style="2" customWidth="1"/>
    <col min="35" max="37" width="13" style="2" customWidth="1"/>
  </cols>
  <sheetData>
    <row r="1" spans="1:34" ht="15.75" customHeight="1" x14ac:dyDescent="0.25">
      <c r="A1" s="119" t="s">
        <v>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customHeight="1" x14ac:dyDescent="0.25">
      <c r="A2" s="120" t="s">
        <v>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</row>
    <row r="3" spans="1:34" ht="30" customHeight="1" x14ac:dyDescent="0.25">
      <c r="A3" s="121" t="s">
        <v>2</v>
      </c>
      <c r="B3" s="121"/>
      <c r="C3" s="121"/>
      <c r="D3" s="5" t="s">
        <v>3</v>
      </c>
      <c r="E3" s="122" t="s">
        <v>4</v>
      </c>
      <c r="F3" s="122"/>
      <c r="G3" s="4" t="s">
        <v>2</v>
      </c>
      <c r="H3" s="5" t="s">
        <v>3</v>
      </c>
      <c r="I3" s="122" t="s">
        <v>4</v>
      </c>
      <c r="J3" s="122"/>
      <c r="K3" s="121" t="s">
        <v>2</v>
      </c>
      <c r="L3" s="121"/>
      <c r="M3" s="5" t="s">
        <v>3</v>
      </c>
      <c r="N3" s="122" t="s">
        <v>4</v>
      </c>
      <c r="O3" s="122"/>
      <c r="P3" s="121" t="s">
        <v>2</v>
      </c>
      <c r="Q3" s="121"/>
      <c r="R3" s="5" t="s">
        <v>3</v>
      </c>
      <c r="S3" s="122" t="s">
        <v>4</v>
      </c>
      <c r="T3" s="122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1:34" ht="31.5" customHeight="1" x14ac:dyDescent="0.25">
      <c r="A4" s="123" t="s">
        <v>5</v>
      </c>
      <c r="B4" s="123"/>
      <c r="C4" s="123"/>
      <c r="D4" s="7">
        <v>22.603976229346799</v>
      </c>
      <c r="E4" s="124" t="s">
        <v>6</v>
      </c>
      <c r="F4" s="124"/>
      <c r="G4" s="8" t="s">
        <v>7</v>
      </c>
      <c r="H4" s="9">
        <v>675.69876955326504</v>
      </c>
      <c r="I4" s="124" t="s">
        <v>8</v>
      </c>
      <c r="J4" s="124"/>
      <c r="K4" s="123" t="s">
        <v>9</v>
      </c>
      <c r="L4" s="123"/>
      <c r="M4" s="9">
        <v>1</v>
      </c>
      <c r="N4" s="124" t="s">
        <v>10</v>
      </c>
      <c r="O4" s="124"/>
      <c r="P4" s="123" t="s">
        <v>11</v>
      </c>
      <c r="Q4" s="123"/>
      <c r="R4" s="9">
        <v>400.85</v>
      </c>
      <c r="S4" s="124" t="s">
        <v>12</v>
      </c>
      <c r="T4" s="124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5" spans="1:34" ht="31.5" customHeight="1" x14ac:dyDescent="0.25">
      <c r="A5" s="123" t="s">
        <v>13</v>
      </c>
      <c r="B5" s="123"/>
      <c r="C5" s="123"/>
      <c r="D5" s="7">
        <v>20</v>
      </c>
      <c r="E5" s="124" t="s">
        <v>14</v>
      </c>
      <c r="F5" s="124"/>
      <c r="G5" s="8" t="s">
        <v>15</v>
      </c>
      <c r="H5" s="9">
        <f>D8+H4</f>
        <v>1914.4798470675851</v>
      </c>
      <c r="I5" s="124" t="s">
        <v>16</v>
      </c>
      <c r="J5" s="124"/>
      <c r="K5" s="123" t="s">
        <v>17</v>
      </c>
      <c r="L5" s="123"/>
      <c r="M5" s="9">
        <v>1</v>
      </c>
      <c r="N5" s="124" t="s">
        <v>10</v>
      </c>
      <c r="O5" s="124"/>
      <c r="P5" s="123" t="s">
        <v>18</v>
      </c>
      <c r="Q5" s="123"/>
      <c r="R5" s="9">
        <v>115.84</v>
      </c>
      <c r="S5" s="124" t="s">
        <v>12</v>
      </c>
      <c r="T5" s="124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1:34" ht="31.5" customHeight="1" x14ac:dyDescent="0.25">
      <c r="A6" s="123" t="s">
        <v>19</v>
      </c>
      <c r="B6" s="123"/>
      <c r="C6" s="123"/>
      <c r="D6" s="7">
        <v>18</v>
      </c>
      <c r="E6" s="124" t="s">
        <v>20</v>
      </c>
      <c r="F6" s="124"/>
      <c r="G6" s="8" t="s">
        <v>21</v>
      </c>
      <c r="H6" s="9">
        <v>25</v>
      </c>
      <c r="I6" s="124" t="s">
        <v>22</v>
      </c>
      <c r="J6" s="124"/>
      <c r="K6" s="123" t="s">
        <v>23</v>
      </c>
      <c r="L6" s="123"/>
      <c r="M6" s="9">
        <v>25</v>
      </c>
      <c r="N6" s="124" t="s">
        <v>10</v>
      </c>
      <c r="O6" s="124"/>
      <c r="P6" s="123" t="s">
        <v>24</v>
      </c>
      <c r="Q6" s="123"/>
      <c r="R6" s="9">
        <v>2003.0892358809399</v>
      </c>
      <c r="S6" s="124" t="s">
        <v>25</v>
      </c>
      <c r="T6" s="124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31.5" customHeight="1" x14ac:dyDescent="0.25">
      <c r="A7" s="123" t="s">
        <v>26</v>
      </c>
      <c r="B7" s="123"/>
      <c r="C7" s="123"/>
      <c r="D7" s="7">
        <v>15.13</v>
      </c>
      <c r="E7" s="124" t="s">
        <v>27</v>
      </c>
      <c r="F7" s="124"/>
      <c r="G7" s="8" t="s">
        <v>28</v>
      </c>
      <c r="H7" s="9">
        <v>1</v>
      </c>
      <c r="I7" s="124" t="s">
        <v>10</v>
      </c>
      <c r="J7" s="124"/>
      <c r="K7" s="123" t="s">
        <v>29</v>
      </c>
      <c r="L7" s="123"/>
      <c r="M7" s="9">
        <v>13239.1886046328</v>
      </c>
      <c r="N7" s="124" t="s">
        <v>30</v>
      </c>
      <c r="O7" s="124"/>
      <c r="P7" s="123" t="s">
        <v>31</v>
      </c>
      <c r="Q7" s="123"/>
      <c r="R7" s="10" t="s">
        <v>32</v>
      </c>
      <c r="S7" s="124" t="s">
        <v>33</v>
      </c>
      <c r="T7" s="124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</row>
    <row r="8" spans="1:34" ht="31.5" customHeight="1" x14ac:dyDescent="0.25">
      <c r="A8" s="125" t="s">
        <v>34</v>
      </c>
      <c r="B8" s="125"/>
      <c r="C8" s="125"/>
      <c r="D8" s="11">
        <v>1238.78107751432</v>
      </c>
      <c r="E8" s="126" t="s">
        <v>35</v>
      </c>
      <c r="F8" s="126"/>
      <c r="G8" s="12" t="s">
        <v>36</v>
      </c>
      <c r="H8" s="13">
        <v>11.3104239756686</v>
      </c>
      <c r="I8" s="126" t="s">
        <v>37</v>
      </c>
      <c r="J8" s="126"/>
      <c r="K8" s="125" t="s">
        <v>38</v>
      </c>
      <c r="L8" s="125"/>
      <c r="M8" s="13">
        <v>516.70000000000005</v>
      </c>
      <c r="N8" s="126" t="s">
        <v>39</v>
      </c>
      <c r="O8" s="126"/>
      <c r="P8" s="14"/>
      <c r="Q8" s="15"/>
      <c r="R8" s="15"/>
      <c r="S8" s="15"/>
      <c r="T8" s="1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 spans="1:34" ht="25.5" customHeight="1" x14ac:dyDescent="0.25">
      <c r="A9" s="17"/>
      <c r="B9" s="17"/>
      <c r="C9" s="17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34" ht="31.5" customHeight="1" x14ac:dyDescent="0.25">
      <c r="A10" s="18" t="s">
        <v>40</v>
      </c>
      <c r="B10" s="18" t="s">
        <v>41</v>
      </c>
      <c r="C10" s="18" t="s">
        <v>42</v>
      </c>
      <c r="D10" s="18" t="s">
        <v>43</v>
      </c>
      <c r="E10" s="18" t="s">
        <v>44</v>
      </c>
      <c r="F10" s="18" t="s">
        <v>45</v>
      </c>
      <c r="G10" s="18" t="s">
        <v>46</v>
      </c>
      <c r="H10" s="18" t="s">
        <v>47</v>
      </c>
      <c r="I10" s="18" t="s">
        <v>48</v>
      </c>
      <c r="J10" s="18" t="s">
        <v>49</v>
      </c>
      <c r="K10" s="18" t="s">
        <v>50</v>
      </c>
      <c r="L10" s="18" t="s">
        <v>51</v>
      </c>
      <c r="M10" s="18" t="s">
        <v>52</v>
      </c>
      <c r="N10" s="18" t="s">
        <v>53</v>
      </c>
      <c r="O10" s="18" t="s">
        <v>54</v>
      </c>
      <c r="P10" s="18" t="s">
        <v>55</v>
      </c>
      <c r="Q10" s="18" t="s">
        <v>56</v>
      </c>
      <c r="R10" s="18" t="s">
        <v>57</v>
      </c>
      <c r="S10" s="18" t="s">
        <v>58</v>
      </c>
      <c r="T10" s="18" t="s">
        <v>59</v>
      </c>
      <c r="U10" s="18" t="s">
        <v>19</v>
      </c>
      <c r="V10" s="18" t="s">
        <v>60</v>
      </c>
      <c r="W10" s="18" t="s">
        <v>61</v>
      </c>
      <c r="X10" s="18" t="s">
        <v>62</v>
      </c>
      <c r="Y10" s="18" t="s">
        <v>63</v>
      </c>
      <c r="Z10" s="18" t="s">
        <v>64</v>
      </c>
      <c r="AA10" s="18" t="s">
        <v>65</v>
      </c>
      <c r="AB10" s="18" t="s">
        <v>66</v>
      </c>
      <c r="AC10" s="18" t="s">
        <v>67</v>
      </c>
      <c r="AD10" s="18" t="s">
        <v>68</v>
      </c>
      <c r="AE10" s="18" t="s">
        <v>69</v>
      </c>
      <c r="AF10" s="18" t="s">
        <v>70</v>
      </c>
      <c r="AG10" s="18" t="s">
        <v>71</v>
      </c>
      <c r="AH10" s="18" t="s">
        <v>72</v>
      </c>
    </row>
    <row r="11" spans="1:34" ht="14.25" customHeight="1" x14ac:dyDescent="0.25">
      <c r="A11" s="19">
        <v>1</v>
      </c>
      <c r="B11" s="20">
        <v>16.176470588235301</v>
      </c>
      <c r="C11" s="19" t="s">
        <v>73</v>
      </c>
      <c r="D11" s="19" t="s">
        <v>74</v>
      </c>
      <c r="E11" s="19" t="s">
        <v>75</v>
      </c>
      <c r="F11" s="19" t="s">
        <v>76</v>
      </c>
      <c r="G11" s="21">
        <f>$D$8*$H$6/100</f>
        <v>309.69526937858001</v>
      </c>
      <c r="H11" s="21">
        <f>IF(OR(D11="Неплатник ПДВ",E11="Експорт"),0,$D$5)</f>
        <v>0</v>
      </c>
      <c r="I11" s="21">
        <f>IF(LEFT(F11,6)="Імпорт",G11*$D$5/100,0)</f>
        <v>61.939053875715999</v>
      </c>
      <c r="J11" s="21">
        <f>IF(F11="Виробництво поза моделлю",G11*$D$5/100,0)</f>
        <v>0</v>
      </c>
      <c r="K11" s="21">
        <f>0</f>
        <v>0</v>
      </c>
      <c r="L11" s="21">
        <f>IF(D11="Платник ПДВ",I11+J11+K11,0)</f>
        <v>0</v>
      </c>
      <c r="M11" s="21">
        <f>IF(D11="Неплатник ПДВ",I11+J11+K11,0)</f>
        <v>61.939053875715999</v>
      </c>
      <c r="N11" s="21">
        <f>G11*$D$4/100</f>
        <v>70.003445073745766</v>
      </c>
      <c r="O11" s="21">
        <f>$H$7</f>
        <v>1</v>
      </c>
      <c r="P11" s="21">
        <f>(G11+M11+N11)*O11/100</f>
        <v>4.4163776832804178</v>
      </c>
      <c r="Q11" s="21">
        <f>G11+M11+N11+P11</f>
        <v>446.05414601132219</v>
      </c>
      <c r="R11" s="21">
        <f>Q11*H11/100</f>
        <v>0</v>
      </c>
      <c r="S11" s="21">
        <f>Q11+R11</f>
        <v>446.05414601132219</v>
      </c>
      <c r="T11" s="21">
        <f>P11</f>
        <v>4.4163776832804178</v>
      </c>
      <c r="U11" s="21">
        <f>$D$6</f>
        <v>18</v>
      </c>
      <c r="V11" s="21">
        <f>T11*U11/100</f>
        <v>0.7949479829904752</v>
      </c>
      <c r="W11" s="21">
        <f>T11-V11</f>
        <v>3.6214297002899425</v>
      </c>
      <c r="X11" s="21">
        <f>R11-L11</f>
        <v>0</v>
      </c>
      <c r="Y11" s="21">
        <f>W11</f>
        <v>3.6214297002899425</v>
      </c>
      <c r="Z11" s="21">
        <f>I11+V11+X11</f>
        <v>62.734001858706471</v>
      </c>
      <c r="AA11" s="21">
        <f>IF(OR(E11="Кінцеве споживання",E11="Експорт"),S11,0)</f>
        <v>0</v>
      </c>
      <c r="AB11" s="21">
        <f>IF(E11="Перехід",Q11,0)</f>
        <v>446.05414601132219</v>
      </c>
      <c r="AC11" s="21">
        <f>IF(E11="Перехід",R11,0)</f>
        <v>0</v>
      </c>
      <c r="AD11" s="21"/>
      <c r="AE11" s="21">
        <f>IF($H$5=0,0,SUM($AA$11:AA11)/$H$5*100-100)</f>
        <v>-100</v>
      </c>
      <c r="AF11" s="21">
        <f>S11</f>
        <v>446.05414601132219</v>
      </c>
      <c r="AG11" s="21" t="s">
        <v>77</v>
      </c>
      <c r="AH11" s="21">
        <f>IF($AF$44=0,0,AF11/$AF$44*100)</f>
        <v>3.369195494769464</v>
      </c>
    </row>
    <row r="12" spans="1:34" ht="14.25" customHeight="1" x14ac:dyDescent="0.25">
      <c r="A12" s="19">
        <v>1</v>
      </c>
      <c r="B12" s="20">
        <v>48.529411764705898</v>
      </c>
      <c r="C12" s="19" t="s">
        <v>78</v>
      </c>
      <c r="D12" s="19" t="s">
        <v>79</v>
      </c>
      <c r="E12" s="19" t="s">
        <v>75</v>
      </c>
      <c r="F12" s="19" t="s">
        <v>80</v>
      </c>
      <c r="G12" s="21">
        <f>$D$8*(100-$H$6)/100</f>
        <v>929.08580813574008</v>
      </c>
      <c r="H12" s="21">
        <f>IF(OR(D12="Неплатник ПДВ",E12="Експорт"),0,$D$5)</f>
        <v>20</v>
      </c>
      <c r="I12" s="21">
        <f>IF(LEFT(F12,6)="Імпорт",G12*$D$5/100,0)</f>
        <v>185.81716162714801</v>
      </c>
      <c r="J12" s="21">
        <f>IF(F12="Виробництво поза моделлю",G12*$D$5/100,0)</f>
        <v>0</v>
      </c>
      <c r="K12" s="21">
        <f>0</f>
        <v>0</v>
      </c>
      <c r="L12" s="21">
        <f>IF(D12="Платник ПДВ",I12+J12+K12,0)</f>
        <v>185.81716162714801</v>
      </c>
      <c r="M12" s="21">
        <f>IF(D12="Неплатник ПДВ",I12+J12+K12,0)</f>
        <v>0</v>
      </c>
      <c r="N12" s="21">
        <f>G12*$D$4/100</f>
        <v>210.01033522123728</v>
      </c>
      <c r="O12" s="21">
        <f>$H$7</f>
        <v>1</v>
      </c>
      <c r="P12" s="21">
        <f>(G12+M12+N12)*O12/100</f>
        <v>11.390961433569773</v>
      </c>
      <c r="Q12" s="21">
        <f>G12+M12+N12+P12</f>
        <v>1150.4871047905472</v>
      </c>
      <c r="R12" s="21">
        <f>Q12*H12/100</f>
        <v>230.09742095810944</v>
      </c>
      <c r="S12" s="21">
        <f>Q12+R12</f>
        <v>1380.5845257486567</v>
      </c>
      <c r="T12" s="21">
        <f>P12</f>
        <v>11.390961433569773</v>
      </c>
      <c r="U12" s="21">
        <f>$D$6</f>
        <v>18</v>
      </c>
      <c r="V12" s="21">
        <f>T12*U12/100</f>
        <v>2.0503730580425592</v>
      </c>
      <c r="W12" s="21">
        <f>T12-V12</f>
        <v>9.3405883755272132</v>
      </c>
      <c r="X12" s="21">
        <f>R12-L12</f>
        <v>44.280259330961428</v>
      </c>
      <c r="Y12" s="21">
        <f>W12</f>
        <v>9.3405883755272132</v>
      </c>
      <c r="Z12" s="21">
        <f>I12+V12+X12</f>
        <v>232.14779401615201</v>
      </c>
      <c r="AA12" s="21">
        <f>IF(OR(E12="Кінцеве споживання",E12="Експорт"),S12,0)</f>
        <v>0</v>
      </c>
      <c r="AB12" s="21">
        <f>IF(E12="Перехід",Q12,0)</f>
        <v>1150.4871047905472</v>
      </c>
      <c r="AC12" s="21">
        <f>IF(E12="Перехід",R12,0)</f>
        <v>230.09742095810944</v>
      </c>
      <c r="AD12" s="21"/>
      <c r="AE12" s="21">
        <f>IF($H$5=0,0,SUM($AA$11:AA12)/$H$5*100-100)</f>
        <v>-100</v>
      </c>
      <c r="AF12" s="21">
        <f>S12</f>
        <v>1380.5845257486567</v>
      </c>
      <c r="AG12" s="21" t="s">
        <v>77</v>
      </c>
      <c r="AH12" s="21">
        <f>IF($AF$44=0,0,AF12/$AF$44*100)</f>
        <v>10.428014638793972</v>
      </c>
    </row>
    <row r="13" spans="1:34" ht="14.25" customHeight="1" x14ac:dyDescent="0.25">
      <c r="A13" s="19">
        <v>1</v>
      </c>
      <c r="B13" s="20">
        <v>35.294117647058798</v>
      </c>
      <c r="C13" s="19" t="s">
        <v>81</v>
      </c>
      <c r="D13" s="19" t="s">
        <v>79</v>
      </c>
      <c r="E13" s="19" t="s">
        <v>75</v>
      </c>
      <c r="F13" s="19" t="s">
        <v>82</v>
      </c>
      <c r="G13" s="21">
        <f>$H$4</f>
        <v>675.69876955326504</v>
      </c>
      <c r="H13" s="21">
        <f>IF(OR(D13="Неплатник ПДВ",E13="Експорт"),0,$D$5)</f>
        <v>20</v>
      </c>
      <c r="I13" s="21">
        <f>IF(LEFT(F13,6)="Імпорт",G13*$D$5/100,0)</f>
        <v>0</v>
      </c>
      <c r="J13" s="21">
        <f>IF(F13="Виробництво поза моделлю",G13*$D$5/100,0)</f>
        <v>135.13975391065301</v>
      </c>
      <c r="K13" s="21">
        <f>0</f>
        <v>0</v>
      </c>
      <c r="L13" s="21">
        <f>IF(D13="Платник ПДВ",I13+J13+K13,0)</f>
        <v>135.13975391065301</v>
      </c>
      <c r="M13" s="21">
        <f>IF(D13="Неплатник ПДВ",I13+J13+K13,0)</f>
        <v>0</v>
      </c>
      <c r="N13" s="21">
        <f>G13*$D$4/100</f>
        <v>152.73478925180882</v>
      </c>
      <c r="O13" s="21">
        <f>$M$4</f>
        <v>1</v>
      </c>
      <c r="P13" s="21">
        <f>(G13+M13+N13)*O13/100</f>
        <v>8.2843355880507392</v>
      </c>
      <c r="Q13" s="21">
        <f>G13+M13+N13+P13</f>
        <v>836.71789439312465</v>
      </c>
      <c r="R13" s="21">
        <f>Q13*H13/100</f>
        <v>167.34357887862495</v>
      </c>
      <c r="S13" s="21">
        <f>Q13+R13</f>
        <v>1004.0614732717496</v>
      </c>
      <c r="T13" s="21">
        <f>P13</f>
        <v>8.2843355880507392</v>
      </c>
      <c r="U13" s="21">
        <f>$D$6</f>
        <v>18</v>
      </c>
      <c r="V13" s="21">
        <f>T13*U13/100</f>
        <v>1.4911804058491329</v>
      </c>
      <c r="W13" s="21">
        <f>T13-V13</f>
        <v>6.7931551822016063</v>
      </c>
      <c r="X13" s="21">
        <f>R13-L13</f>
        <v>32.20382496797194</v>
      </c>
      <c r="Y13" s="21">
        <f>W13</f>
        <v>6.7931551822016063</v>
      </c>
      <c r="Z13" s="21">
        <f>I13+V13+X13</f>
        <v>33.695005373821076</v>
      </c>
      <c r="AA13" s="21">
        <f>IF(OR(E13="Кінцеве споживання",E13="Експорт"),S13,0)</f>
        <v>0</v>
      </c>
      <c r="AB13" s="21">
        <f>IF(E13="Перехід",Q13,0)</f>
        <v>836.71789439312465</v>
      </c>
      <c r="AC13" s="21">
        <f>IF(E13="Перехід",R13,0)</f>
        <v>167.34357887862495</v>
      </c>
      <c r="AD13" s="21"/>
      <c r="AE13" s="21">
        <f>IF($H$5=0,0,SUM($AA$11:AA13)/$H$5*100-100)</f>
        <v>-100</v>
      </c>
      <c r="AF13" s="21">
        <f>S13</f>
        <v>1004.0614732717496</v>
      </c>
      <c r="AG13" s="21" t="s">
        <v>83</v>
      </c>
      <c r="AH13" s="21">
        <f>IF($AF$44=0,0,AF13/$AF$44*100)</f>
        <v>7.5840106463956101</v>
      </c>
    </row>
    <row r="14" spans="1:34" ht="14.25" customHeight="1" x14ac:dyDescent="0.25">
      <c r="A14" s="22">
        <v>1</v>
      </c>
      <c r="B14" s="23">
        <f>SUM(B11:B13)</f>
        <v>100</v>
      </c>
      <c r="C14" s="22" t="s">
        <v>84</v>
      </c>
      <c r="D14" s="22"/>
      <c r="E14" s="22" t="s">
        <v>85</v>
      </c>
      <c r="F14" s="22"/>
      <c r="G14" s="23">
        <f>SUM(G11:G13)</f>
        <v>1914.4798470675851</v>
      </c>
      <c r="H14" s="23"/>
      <c r="I14" s="23">
        <f t="shared" ref="I14:N14" si="0">SUM(I11:I13)</f>
        <v>247.75621550286399</v>
      </c>
      <c r="J14" s="23">
        <f t="shared" si="0"/>
        <v>135.13975391065301</v>
      </c>
      <c r="K14" s="23">
        <f t="shared" si="0"/>
        <v>0</v>
      </c>
      <c r="L14" s="23">
        <f t="shared" si="0"/>
        <v>320.95691553780102</v>
      </c>
      <c r="M14" s="23">
        <f t="shared" si="0"/>
        <v>61.939053875715999</v>
      </c>
      <c r="N14" s="23">
        <f t="shared" si="0"/>
        <v>432.74856954679188</v>
      </c>
      <c r="O14" s="23"/>
      <c r="P14" s="23">
        <f>SUM(P11:P13)</f>
        <v>24.091674704900932</v>
      </c>
      <c r="Q14" s="23">
        <f>SUM(Q11:Q13)</f>
        <v>2433.2591451949938</v>
      </c>
      <c r="R14" s="23">
        <f>SUM(R11:R13)</f>
        <v>397.44099983673436</v>
      </c>
      <c r="S14" s="23">
        <f>SUM(S11:S13)</f>
        <v>2830.7001450317284</v>
      </c>
      <c r="T14" s="23">
        <f>SUM(T11:T13)</f>
        <v>24.091674704900932</v>
      </c>
      <c r="U14" s="23"/>
      <c r="V14" s="23">
        <f t="shared" ref="V14:AC14" si="1">SUM(V11:V13)</f>
        <v>4.336501446882167</v>
      </c>
      <c r="W14" s="23">
        <f t="shared" si="1"/>
        <v>19.755173258018761</v>
      </c>
      <c r="X14" s="23">
        <f t="shared" si="1"/>
        <v>76.484084298933368</v>
      </c>
      <c r="Y14" s="23">
        <f t="shared" si="1"/>
        <v>19.755173258018761</v>
      </c>
      <c r="Z14" s="23">
        <f t="shared" si="1"/>
        <v>328.57680124867954</v>
      </c>
      <c r="AA14" s="23">
        <f t="shared" si="1"/>
        <v>0</v>
      </c>
      <c r="AB14" s="23">
        <f t="shared" si="1"/>
        <v>2433.2591451949938</v>
      </c>
      <c r="AC14" s="23">
        <f t="shared" si="1"/>
        <v>397.44099983673436</v>
      </c>
      <c r="AD14" s="23" t="str">
        <f>IF(ABS(SUM(B11:B13)-100)&lt;0.01,"ОК","ПОМИЛКА")</f>
        <v>ОК</v>
      </c>
      <c r="AE14" s="23">
        <f>IF($H$5=0,0,SUM($AA$11:AA13)/$H$5*100-100)</f>
        <v>-100</v>
      </c>
      <c r="AF14" s="23">
        <f>SUM(AF11:AF13)</f>
        <v>2830.7001450317284</v>
      </c>
      <c r="AG14" s="23"/>
      <c r="AH14" s="23"/>
    </row>
    <row r="15" spans="1:34" ht="14.25" customHeight="1" x14ac:dyDescent="0.25">
      <c r="A15" s="19"/>
      <c r="B15" s="21"/>
      <c r="C15" s="19"/>
      <c r="D15" s="19"/>
      <c r="E15" s="19"/>
      <c r="F15" s="19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4.25" customHeight="1" x14ac:dyDescent="0.25">
      <c r="A16" s="19">
        <v>2</v>
      </c>
      <c r="B16" s="20">
        <v>4.9715028855329004</v>
      </c>
      <c r="C16" s="19" t="s">
        <v>86</v>
      </c>
      <c r="D16" s="19" t="s">
        <v>79</v>
      </c>
      <c r="E16" s="19" t="s">
        <v>87</v>
      </c>
      <c r="F16" s="19" t="s">
        <v>88</v>
      </c>
      <c r="G16" s="21">
        <f>$AB$14*B16/100</f>
        <v>120.96954861586231</v>
      </c>
      <c r="H16" s="21">
        <f>IF(OR(D16="Неплатник ПДВ",E16="Експорт"),0,$D$5)</f>
        <v>0</v>
      </c>
      <c r="I16" s="21">
        <f>IF(LEFT(F16,6)="Імпорт",G16*$D$5/100,0)</f>
        <v>0</v>
      </c>
      <c r="J16" s="21">
        <f>IF(F16="Виробництво поза моделлю",G16*$D$5/100,0)</f>
        <v>0</v>
      </c>
      <c r="K16" s="21">
        <f>$AC$14*B16/100</f>
        <v>19.758790775174059</v>
      </c>
      <c r="L16" s="21">
        <f>IF(D16="Платник ПДВ",I16+J16+K16,0)</f>
        <v>19.758790775174059</v>
      </c>
      <c r="M16" s="21">
        <f>IF(D16="Неплатник ПДВ",I16+J16+K16,0)</f>
        <v>0</v>
      </c>
      <c r="N16" s="21">
        <f>G16*$D$4/100</f>
        <v>27.343928013877633</v>
      </c>
      <c r="O16" s="21">
        <f>$M$5</f>
        <v>1</v>
      </c>
      <c r="P16" s="21">
        <f>(G16+M16+N16)*O16/100</f>
        <v>1.4831347662973995</v>
      </c>
      <c r="Q16" s="21">
        <f>G16+M16+N16+P16</f>
        <v>149.79661139603735</v>
      </c>
      <c r="R16" s="21">
        <f>Q16*H16/100</f>
        <v>0</v>
      </c>
      <c r="S16" s="21">
        <f>Q16+R16</f>
        <v>149.79661139603735</v>
      </c>
      <c r="T16" s="21">
        <f>P16</f>
        <v>1.4831347662973995</v>
      </c>
      <c r="U16" s="21">
        <f>$D$6</f>
        <v>18</v>
      </c>
      <c r="V16" s="21">
        <f>T16*U16/100</f>
        <v>0.2669642579335319</v>
      </c>
      <c r="W16" s="21">
        <f>T16-V16</f>
        <v>1.2161705083638676</v>
      </c>
      <c r="X16" s="21">
        <f>R16-L16</f>
        <v>-19.758790775174059</v>
      </c>
      <c r="Y16" s="21">
        <f>W16</f>
        <v>1.2161705083638676</v>
      </c>
      <c r="Z16" s="21">
        <f>I16+V16+X16</f>
        <v>-19.491826517240529</v>
      </c>
      <c r="AA16" s="21">
        <f>IF(OR(E16="Кінцеве споживання",E16="Експорт"),S16,0)</f>
        <v>149.79661139603735</v>
      </c>
      <c r="AB16" s="21">
        <f>IF(E16="Перехід",Q16,0)</f>
        <v>0</v>
      </c>
      <c r="AC16" s="21">
        <f>IF(E16="Перехід",R16,0)</f>
        <v>0</v>
      </c>
      <c r="AD16" s="21"/>
      <c r="AE16" s="21">
        <f>IF($H$5=0,0,SUM($AA$11:AA13,$AA$16:AA16)/$H$5*100-100)</f>
        <v>-92.1755973756798</v>
      </c>
      <c r="AF16" s="21">
        <f>S16</f>
        <v>149.79661139603735</v>
      </c>
      <c r="AG16" s="21" t="s">
        <v>87</v>
      </c>
      <c r="AH16" s="21">
        <f>IF($AF$44=0,0,AF16/$AF$44*100)</f>
        <v>1.1314636861024729</v>
      </c>
    </row>
    <row r="17" spans="1:34" ht="14.25" customHeight="1" x14ac:dyDescent="0.25">
      <c r="A17" s="19">
        <v>2</v>
      </c>
      <c r="B17" s="20">
        <v>3.3369086120184299</v>
      </c>
      <c r="C17" s="19" t="s">
        <v>89</v>
      </c>
      <c r="D17" s="19" t="s">
        <v>79</v>
      </c>
      <c r="E17" s="19" t="s">
        <v>90</v>
      </c>
      <c r="F17" s="19" t="s">
        <v>88</v>
      </c>
      <c r="G17" s="21">
        <f>$AB$14*B17/100</f>
        <v>81.195633968737781</v>
      </c>
      <c r="H17" s="21">
        <f>IF(OR(D17="Неплатник ПДВ",E17="Експорт"),0,$D$5)</f>
        <v>20</v>
      </c>
      <c r="I17" s="21">
        <f>IF(LEFT(F17,6)="Імпорт",G17*$D$5/100,0)</f>
        <v>0</v>
      </c>
      <c r="J17" s="21">
        <f>IF(F17="Виробництво поза моделлю",G17*$D$5/100,0)</f>
        <v>0</v>
      </c>
      <c r="K17" s="21">
        <f>$AC$14*B17/100</f>
        <v>13.262242951244144</v>
      </c>
      <c r="L17" s="21">
        <f>IF(D17="Платник ПДВ",I17+J17+K17,0)</f>
        <v>13.262242951244144</v>
      </c>
      <c r="M17" s="21">
        <f>IF(D17="Неплатник ПДВ",I17+J17+K17,0)</f>
        <v>0</v>
      </c>
      <c r="N17" s="21">
        <f>G17*$D$4/100</f>
        <v>18.353441801560923</v>
      </c>
      <c r="O17" s="21">
        <f>$M$4</f>
        <v>1</v>
      </c>
      <c r="P17" s="21">
        <f>(G17+M17+N17)*O17/100</f>
        <v>0.99549075770298701</v>
      </c>
      <c r="Q17" s="21">
        <f>G17+M17+N17+P17</f>
        <v>100.54456652800168</v>
      </c>
      <c r="R17" s="21">
        <f>Q17*H17/100</f>
        <v>20.108913305600336</v>
      </c>
      <c r="S17" s="21">
        <f>Q17+R17</f>
        <v>120.65347983360202</v>
      </c>
      <c r="T17" s="21">
        <f>P17</f>
        <v>0.99549075770298701</v>
      </c>
      <c r="U17" s="21">
        <f>$D$6</f>
        <v>18</v>
      </c>
      <c r="V17" s="21">
        <f>T17*U17/100</f>
        <v>0.17918833638653767</v>
      </c>
      <c r="W17" s="21">
        <f>T17-V17</f>
        <v>0.81630242131644937</v>
      </c>
      <c r="X17" s="21">
        <f>R17-L17</f>
        <v>6.846670354356192</v>
      </c>
      <c r="Y17" s="21">
        <f>W17</f>
        <v>0.81630242131644937</v>
      </c>
      <c r="Z17" s="21">
        <f>I17+V17+X17</f>
        <v>7.0258586907427301</v>
      </c>
      <c r="AA17" s="21">
        <f>IF(OR(E17="Кінцеве споживання",E17="Експорт"),S17,0)</f>
        <v>120.65347983360202</v>
      </c>
      <c r="AB17" s="21">
        <f>IF(E17="Перехід",Q17,0)</f>
        <v>0</v>
      </c>
      <c r="AC17" s="21">
        <f>IF(E17="Перехід",R17,0)</f>
        <v>0</v>
      </c>
      <c r="AD17" s="21"/>
      <c r="AE17" s="21">
        <f>IF($H$5=0,0,SUM($AA$11:AA13,$AA$16:AA17)/$H$5*100-100)</f>
        <v>-85.873442771210748</v>
      </c>
      <c r="AF17" s="21">
        <f>S17</f>
        <v>120.65347983360202</v>
      </c>
      <c r="AG17" s="21" t="s">
        <v>83</v>
      </c>
      <c r="AH17" s="21">
        <f>IF($AF$44=0,0,AF17/$AF$44*100)</f>
        <v>0.91133590914613316</v>
      </c>
    </row>
    <row r="18" spans="1:34" ht="14.25" customHeight="1" x14ac:dyDescent="0.25">
      <c r="A18" s="19">
        <v>2</v>
      </c>
      <c r="B18" s="20">
        <v>62.616217166495403</v>
      </c>
      <c r="C18" s="19" t="s">
        <v>81</v>
      </c>
      <c r="D18" s="19" t="s">
        <v>79</v>
      </c>
      <c r="E18" s="19" t="s">
        <v>75</v>
      </c>
      <c r="F18" s="19" t="s">
        <v>88</v>
      </c>
      <c r="G18" s="21">
        <f>$AB$14*B18/100</f>
        <v>1523.614830578907</v>
      </c>
      <c r="H18" s="21">
        <f>IF(OR(D18="Неплатник ПДВ",E18="Експорт"),0,$D$5)</f>
        <v>20</v>
      </c>
      <c r="I18" s="21">
        <f>IF(LEFT(F18,6)="Імпорт",G18*$D$5/100,0)</f>
        <v>0</v>
      </c>
      <c r="J18" s="21">
        <f>IF(F18="Виробництво поза моделлю",G18*$D$5/100,0)</f>
        <v>0</v>
      </c>
      <c r="K18" s="21">
        <f>$AC$14*B18/100</f>
        <v>248.86251956646021</v>
      </c>
      <c r="L18" s="21">
        <f>IF(D18="Платник ПДВ",I18+J18+K18,0)</f>
        <v>248.86251956646021</v>
      </c>
      <c r="M18" s="21">
        <f>IF(D18="Неплатник ПДВ",I18+J18+K18,0)</f>
        <v>0</v>
      </c>
      <c r="N18" s="21">
        <f>G18*$D$4/100</f>
        <v>344.39753413085862</v>
      </c>
      <c r="O18" s="21">
        <f>$M$4</f>
        <v>1</v>
      </c>
      <c r="P18" s="21">
        <f>(G18+M18+N18)*O18/100</f>
        <v>18.680123647097659</v>
      </c>
      <c r="Q18" s="21">
        <f>G18+M18+N18+P18</f>
        <v>1886.6924883568634</v>
      </c>
      <c r="R18" s="21">
        <f>Q18*H18/100</f>
        <v>377.33849767137269</v>
      </c>
      <c r="S18" s="21">
        <f>Q18+R18</f>
        <v>2264.0309860282359</v>
      </c>
      <c r="T18" s="21">
        <f>P18</f>
        <v>18.680123647097659</v>
      </c>
      <c r="U18" s="21">
        <f>$D$6</f>
        <v>18</v>
      </c>
      <c r="V18" s="21">
        <f>T18*U18/100</f>
        <v>3.3624222564775788</v>
      </c>
      <c r="W18" s="21">
        <f>T18-V18</f>
        <v>15.31770139062008</v>
      </c>
      <c r="X18" s="21">
        <f>R18-L18</f>
        <v>128.47597810491249</v>
      </c>
      <c r="Y18" s="21">
        <f>W18</f>
        <v>15.31770139062008</v>
      </c>
      <c r="Z18" s="21">
        <f>I18+V18+X18</f>
        <v>131.83840036139006</v>
      </c>
      <c r="AA18" s="21">
        <f>IF(OR(E18="Кінцеве споживання",E18="Експорт"),S18,0)</f>
        <v>0</v>
      </c>
      <c r="AB18" s="21">
        <f>IF(E18="Перехід",Q18,0)</f>
        <v>1886.6924883568634</v>
      </c>
      <c r="AC18" s="21">
        <f>IF(E18="Перехід",R18,0)</f>
        <v>377.33849767137269</v>
      </c>
      <c r="AD18" s="21"/>
      <c r="AE18" s="21">
        <f>IF($H$5=0,0,SUM($AA$11:AA13,$AA$16:AA18)/$H$5*100-100)</f>
        <v>-85.873442771210748</v>
      </c>
      <c r="AF18" s="21">
        <f>S18</f>
        <v>2264.0309860282359</v>
      </c>
      <c r="AG18" s="21" t="s">
        <v>83</v>
      </c>
      <c r="AH18" s="21">
        <f>IF($AF$44=0,0,AF18/$AF$44*100)</f>
        <v>17.100979928905716</v>
      </c>
    </row>
    <row r="19" spans="1:34" ht="14.25" customHeight="1" x14ac:dyDescent="0.25">
      <c r="A19" s="19">
        <v>2</v>
      </c>
      <c r="B19" s="20">
        <v>0</v>
      </c>
      <c r="C19" s="19" t="s">
        <v>91</v>
      </c>
      <c r="D19" s="19" t="s">
        <v>74</v>
      </c>
      <c r="E19" s="19" t="s">
        <v>75</v>
      </c>
      <c r="F19" s="19" t="s">
        <v>88</v>
      </c>
      <c r="G19" s="21">
        <f>$AB$14*B19/100</f>
        <v>0</v>
      </c>
      <c r="H19" s="21">
        <f>IF(OR(D19="Неплатник ПДВ",E19="Експорт"),0,$D$5)</f>
        <v>0</v>
      </c>
      <c r="I19" s="21">
        <f>IF(LEFT(F19,6)="Імпорт",G19*$D$5/100,0)</f>
        <v>0</v>
      </c>
      <c r="J19" s="21">
        <f>IF(F19="Виробництво поза моделлю",G19*$D$5/100,0)</f>
        <v>0</v>
      </c>
      <c r="K19" s="21">
        <f>$AC$14*B19/100</f>
        <v>0</v>
      </c>
      <c r="L19" s="21">
        <f>IF(D19="Платник ПДВ",I19+J19+K19,0)</f>
        <v>0</v>
      </c>
      <c r="M19" s="21">
        <f>IF(D19="Неплатник ПДВ",I19+J19+K19,0)</f>
        <v>0</v>
      </c>
      <c r="N19" s="21">
        <f>G19*$D$4/100</f>
        <v>0</v>
      </c>
      <c r="O19" s="21">
        <f>$H$8</f>
        <v>11.3104239756686</v>
      </c>
      <c r="P19" s="21">
        <f>(G19+M19+N19)*O19/100</f>
        <v>0</v>
      </c>
      <c r="Q19" s="21">
        <f>G19+M19+N19+P19</f>
        <v>0</v>
      </c>
      <c r="R19" s="21">
        <f>Q19*H19/100</f>
        <v>0</v>
      </c>
      <c r="S19" s="21">
        <f>Q19+R19</f>
        <v>0</v>
      </c>
      <c r="T19" s="21">
        <f>P19</f>
        <v>0</v>
      </c>
      <c r="U19" s="21">
        <f>$D$6</f>
        <v>18</v>
      </c>
      <c r="V19" s="21">
        <f>T19*U19/100</f>
        <v>0</v>
      </c>
      <c r="W19" s="21">
        <f>T19-V19</f>
        <v>0</v>
      </c>
      <c r="X19" s="21">
        <f>R19-L19</f>
        <v>0</v>
      </c>
      <c r="Y19" s="21">
        <f>W19</f>
        <v>0</v>
      </c>
      <c r="Z19" s="21">
        <f>I19+V19+X19</f>
        <v>0</v>
      </c>
      <c r="AA19" s="21">
        <f>IF(OR(E19="Кінцеве споживання",E19="Експорт"),S19,0)</f>
        <v>0</v>
      </c>
      <c r="AB19" s="21">
        <f>IF(E19="Перехід",Q19,0)</f>
        <v>0</v>
      </c>
      <c r="AC19" s="21">
        <f>IF(E19="Перехід",R19,0)</f>
        <v>0</v>
      </c>
      <c r="AD19" s="21"/>
      <c r="AE19" s="21">
        <f>IF($H$5=0,0,SUM($AA$11:AA13,$AA$16:AA19)/$H$5*100-100)</f>
        <v>-85.873442771210748</v>
      </c>
      <c r="AF19" s="21">
        <f>S19</f>
        <v>0</v>
      </c>
      <c r="AG19" s="21" t="s">
        <v>92</v>
      </c>
      <c r="AH19" s="21">
        <f>IF($AF$44=0,0,AF19/$AF$44*100)</f>
        <v>0</v>
      </c>
    </row>
    <row r="20" spans="1:34" ht="14.25" customHeight="1" x14ac:dyDescent="0.25">
      <c r="A20" s="19">
        <v>2</v>
      </c>
      <c r="B20" s="20">
        <v>29.075371335953299</v>
      </c>
      <c r="C20" s="19" t="s">
        <v>93</v>
      </c>
      <c r="D20" s="19" t="s">
        <v>79</v>
      </c>
      <c r="E20" s="19" t="s">
        <v>75</v>
      </c>
      <c r="F20" s="19" t="s">
        <v>88</v>
      </c>
      <c r="G20" s="21">
        <f>$AB$14*B20/100</f>
        <v>707.47913203148755</v>
      </c>
      <c r="H20" s="21">
        <f>IF(OR(D20="Неплатник ПДВ",E20="Експорт"),0,$D$5)</f>
        <v>20</v>
      </c>
      <c r="I20" s="21">
        <f>IF(LEFT(F20,6)="Імпорт",G20*$D$5/100,0)</f>
        <v>0</v>
      </c>
      <c r="J20" s="21">
        <f>IF(F20="Виробництво поза моделлю",G20*$D$5/100,0)</f>
        <v>0</v>
      </c>
      <c r="K20" s="21">
        <f>$AC$14*B20/100</f>
        <v>115.55744654385606</v>
      </c>
      <c r="L20" s="21">
        <f>IF(D20="Платник ПДВ",I20+J20+K20,0)</f>
        <v>115.55744654385606</v>
      </c>
      <c r="M20" s="21">
        <f>IF(D20="Неплатник ПДВ",I20+J20+K20,0)</f>
        <v>0</v>
      </c>
      <c r="N20" s="21">
        <f>G20*$D$4/100</f>
        <v>159.9184148319865</v>
      </c>
      <c r="O20" s="21">
        <f>$H$8</f>
        <v>11.3104239756686</v>
      </c>
      <c r="P20" s="21">
        <f>(G20+M20+N20)*O20/100</f>
        <v>98.106340104807657</v>
      </c>
      <c r="Q20" s="21">
        <f>G20+M20+N20+P20</f>
        <v>965.50388696828168</v>
      </c>
      <c r="R20" s="21">
        <f>Q20*H20/100</f>
        <v>193.10077739365633</v>
      </c>
      <c r="S20" s="21">
        <f>Q20+R20</f>
        <v>1158.6046643619379</v>
      </c>
      <c r="T20" s="21">
        <f>P20</f>
        <v>98.106340104807657</v>
      </c>
      <c r="U20" s="21">
        <f>$D$6</f>
        <v>18</v>
      </c>
      <c r="V20" s="21">
        <f>T20*U20/100</f>
        <v>17.659141218865379</v>
      </c>
      <c r="W20" s="21">
        <f>T20-V20</f>
        <v>80.447198885942271</v>
      </c>
      <c r="X20" s="21">
        <f>R20-L20</f>
        <v>77.54333084980027</v>
      </c>
      <c r="Y20" s="21">
        <f>W20</f>
        <v>80.447198885942271</v>
      </c>
      <c r="Z20" s="21">
        <f>I20+V20+X20</f>
        <v>95.202472068665656</v>
      </c>
      <c r="AA20" s="21">
        <f>IF(OR(E20="Кінцеве споживання",E20="Експорт"),S20,0)</f>
        <v>0</v>
      </c>
      <c r="AB20" s="21">
        <f>IF(E20="Перехід",Q20,0)</f>
        <v>965.50388696828168</v>
      </c>
      <c r="AC20" s="21">
        <f>IF(E20="Перехід",R20,0)</f>
        <v>193.10077739365633</v>
      </c>
      <c r="AD20" s="21"/>
      <c r="AE20" s="21">
        <f>IF($H$5=0,0,SUM($AA$11:AA13,$AA$16:AA20)/$H$5*100-100)</f>
        <v>-85.873442771210748</v>
      </c>
      <c r="AF20" s="21">
        <f>S20</f>
        <v>1158.6046643619379</v>
      </c>
      <c r="AG20" s="21" t="s">
        <v>94</v>
      </c>
      <c r="AH20" s="21">
        <f>IF($AF$44=0,0,AF20/$AF$44*100)</f>
        <v>8.7513268294742961</v>
      </c>
    </row>
    <row r="21" spans="1:34" ht="14.25" customHeight="1" x14ac:dyDescent="0.25">
      <c r="A21" s="22">
        <v>2</v>
      </c>
      <c r="B21" s="23">
        <f>SUM(B16:B20)</f>
        <v>100.00000000000003</v>
      </c>
      <c r="C21" s="22" t="s">
        <v>95</v>
      </c>
      <c r="D21" s="22"/>
      <c r="E21" s="22" t="s">
        <v>85</v>
      </c>
      <c r="F21" s="22"/>
      <c r="G21" s="23">
        <f>SUM(G16:G20)</f>
        <v>2433.2591451949947</v>
      </c>
      <c r="H21" s="23"/>
      <c r="I21" s="23">
        <f t="shared" ref="I21:N21" si="2">SUM(I16:I20)</f>
        <v>0</v>
      </c>
      <c r="J21" s="23">
        <f t="shared" si="2"/>
        <v>0</v>
      </c>
      <c r="K21" s="23">
        <f t="shared" si="2"/>
        <v>397.44099983673448</v>
      </c>
      <c r="L21" s="23">
        <f t="shared" si="2"/>
        <v>397.44099983673448</v>
      </c>
      <c r="M21" s="23">
        <f t="shared" si="2"/>
        <v>0</v>
      </c>
      <c r="N21" s="23">
        <f t="shared" si="2"/>
        <v>550.01331877828363</v>
      </c>
      <c r="O21" s="23"/>
      <c r="P21" s="23">
        <f>SUM(P16:P20)</f>
        <v>119.26508927590569</v>
      </c>
      <c r="Q21" s="23">
        <f>SUM(Q16:Q20)</f>
        <v>3102.5375532491839</v>
      </c>
      <c r="R21" s="23">
        <f>SUM(R16:R20)</f>
        <v>590.5481883706293</v>
      </c>
      <c r="S21" s="23">
        <f>SUM(S16:S20)</f>
        <v>3693.0857416198132</v>
      </c>
      <c r="T21" s="23">
        <f>SUM(T16:T20)</f>
        <v>119.26508927590569</v>
      </c>
      <c r="U21" s="23"/>
      <c r="V21" s="23">
        <f t="shared" ref="V21:AC21" si="3">SUM(V16:V20)</f>
        <v>21.467716069663027</v>
      </c>
      <c r="W21" s="23">
        <f t="shared" si="3"/>
        <v>97.797373206242668</v>
      </c>
      <c r="X21" s="23">
        <f t="shared" si="3"/>
        <v>193.10718853389488</v>
      </c>
      <c r="Y21" s="23">
        <f t="shared" si="3"/>
        <v>97.797373206242668</v>
      </c>
      <c r="Z21" s="23">
        <f t="shared" si="3"/>
        <v>214.57490460355791</v>
      </c>
      <c r="AA21" s="23">
        <f t="shared" si="3"/>
        <v>270.45009122963938</v>
      </c>
      <c r="AB21" s="23">
        <f t="shared" si="3"/>
        <v>2852.1963753251448</v>
      </c>
      <c r="AC21" s="23">
        <f t="shared" si="3"/>
        <v>570.43927506502905</v>
      </c>
      <c r="AD21" s="23" t="str">
        <f>IF(ABS(SUM(B16:B20)-100)&lt;0.01,"ОК","ПОМИЛКА")</f>
        <v>ОК</v>
      </c>
      <c r="AE21" s="23">
        <f>IF($H$5=0,0,SUM($AA$11:AA13,$AA$16:AA20)/$H$5*100-100)</f>
        <v>-85.873442771210748</v>
      </c>
      <c r="AF21" s="23">
        <f>SUM(AF16:AF20)</f>
        <v>3693.0857416198132</v>
      </c>
      <c r="AG21" s="23"/>
      <c r="AH21" s="23"/>
    </row>
    <row r="22" spans="1:34" ht="14.25" customHeight="1" x14ac:dyDescent="0.25">
      <c r="A22" s="19"/>
      <c r="B22" s="21"/>
      <c r="C22" s="19"/>
      <c r="D22" s="19"/>
      <c r="E22" s="19"/>
      <c r="F22" s="19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</row>
    <row r="23" spans="1:34" ht="14.25" customHeight="1" x14ac:dyDescent="0.25">
      <c r="A23" s="19">
        <v>3</v>
      </c>
      <c r="B23" s="20">
        <v>40.315566177497402</v>
      </c>
      <c r="C23" s="19" t="s">
        <v>86</v>
      </c>
      <c r="D23" s="19" t="s">
        <v>79</v>
      </c>
      <c r="E23" s="19" t="s">
        <v>87</v>
      </c>
      <c r="F23" s="19" t="s">
        <v>88</v>
      </c>
      <c r="G23" s="21">
        <f>$AB$21*B23/100</f>
        <v>1149.8791172063909</v>
      </c>
      <c r="H23" s="21">
        <f>IF(OR(D23="Неплатник ПДВ",E23="Експорт"),0,$D$5)</f>
        <v>0</v>
      </c>
      <c r="I23" s="21">
        <f>IF(LEFT(F23,6)="Імпорт",G23*$D$5/100,0)</f>
        <v>0</v>
      </c>
      <c r="J23" s="21">
        <f>IF(F23="Виробництво поза моделлю",G23*$D$5/100,0)</f>
        <v>0</v>
      </c>
      <c r="K23" s="21">
        <f>$AC$21*B23/100</f>
        <v>229.97582344127824</v>
      </c>
      <c r="L23" s="21">
        <f>IF(D23="Платник ПДВ",I23+J23+K23,0)</f>
        <v>229.97582344127824</v>
      </c>
      <c r="M23" s="21">
        <f>IF(D23="Неплатник ПДВ",I23+J23+K23,0)</f>
        <v>0</v>
      </c>
      <c r="N23" s="21">
        <f>G23*$D$4/100</f>
        <v>259.91840231955541</v>
      </c>
      <c r="O23" s="21">
        <f>$M$5</f>
        <v>1</v>
      </c>
      <c r="P23" s="21">
        <f>(G23+M23+N23)*O23/100</f>
        <v>14.097975195259464</v>
      </c>
      <c r="Q23" s="21">
        <f>G23+M23+N23+P23</f>
        <v>1423.895494721206</v>
      </c>
      <c r="R23" s="21">
        <f>Q23*H23/100</f>
        <v>0</v>
      </c>
      <c r="S23" s="21">
        <f>Q23+R23</f>
        <v>1423.895494721206</v>
      </c>
      <c r="T23" s="21">
        <f>P23</f>
        <v>14.097975195259464</v>
      </c>
      <c r="U23" s="21">
        <f>$D$6</f>
        <v>18</v>
      </c>
      <c r="V23" s="21">
        <f>T23*U23/100</f>
        <v>2.5376355351467037</v>
      </c>
      <c r="W23" s="21">
        <f>T23-V23</f>
        <v>11.56033966011276</v>
      </c>
      <c r="X23" s="21">
        <f>R23-L23</f>
        <v>-229.97582344127824</v>
      </c>
      <c r="Y23" s="21">
        <f>W23</f>
        <v>11.56033966011276</v>
      </c>
      <c r="Z23" s="21">
        <f>I23+V23+X23</f>
        <v>-227.43818790613153</v>
      </c>
      <c r="AA23" s="21">
        <f>IF(OR(E23="Кінцеве споживання",E23="Експорт"),S23,0)</f>
        <v>1423.895494721206</v>
      </c>
      <c r="AB23" s="21">
        <f>IF(E23="Перехід",Q23,0)</f>
        <v>0</v>
      </c>
      <c r="AC23" s="21">
        <f>IF(E23="Перехід",R23,0)</f>
        <v>0</v>
      </c>
      <c r="AD23" s="21"/>
      <c r="AE23" s="21">
        <f>IF($H$5=0,0,SUM($AA$11:AA13,$AA$16:AA20,$AA$23:AA23)/$H$5*100-100)</f>
        <v>-11.498384872210593</v>
      </c>
      <c r="AF23" s="21">
        <f>S23</f>
        <v>1423.895494721206</v>
      </c>
      <c r="AG23" s="21" t="s">
        <v>87</v>
      </c>
      <c r="AH23" s="21">
        <f>IF($AF$44=0,0,AF23/$AF$44*100)</f>
        <v>10.755156809405495</v>
      </c>
    </row>
    <row r="24" spans="1:34" ht="14.25" customHeight="1" x14ac:dyDescent="0.25">
      <c r="A24" s="19">
        <v>3</v>
      </c>
      <c r="B24" s="20">
        <v>41.7458423930686</v>
      </c>
      <c r="C24" s="19" t="s">
        <v>89</v>
      </c>
      <c r="D24" s="19" t="s">
        <v>79</v>
      </c>
      <c r="E24" s="19" t="s">
        <v>90</v>
      </c>
      <c r="F24" s="19" t="s">
        <v>88</v>
      </c>
      <c r="G24" s="21">
        <f>$AB$21*B24/100</f>
        <v>1190.6734035840502</v>
      </c>
      <c r="H24" s="21">
        <f>IF(OR(D24="Неплатник ПДВ",E24="Експорт"),0,$D$5)</f>
        <v>20</v>
      </c>
      <c r="I24" s="21">
        <f>IF(LEFT(F24,6)="Імпорт",G24*$D$5/100,0)</f>
        <v>0</v>
      </c>
      <c r="J24" s="21">
        <f>IF(F24="Виробництво поза моделлю",G24*$D$5/100,0)</f>
        <v>0</v>
      </c>
      <c r="K24" s="21">
        <f>$AC$21*B24/100</f>
        <v>238.1346807168101</v>
      </c>
      <c r="L24" s="21">
        <f>IF(D24="Платник ПДВ",I24+J24+K24,0)</f>
        <v>238.1346807168101</v>
      </c>
      <c r="M24" s="21">
        <f>IF(D24="Неплатник ПДВ",I24+J24+K24,0)</f>
        <v>0</v>
      </c>
      <c r="N24" s="21">
        <f>G24*$D$4/100</f>
        <v>269.1395331152932</v>
      </c>
      <c r="O24" s="21">
        <f>$M$4</f>
        <v>1</v>
      </c>
      <c r="P24" s="21">
        <f>(G24+M24+N24)*O24/100</f>
        <v>14.598129366993435</v>
      </c>
      <c r="Q24" s="21">
        <f>G24+M24+N24+P24</f>
        <v>1474.4110660663368</v>
      </c>
      <c r="R24" s="21">
        <f>Q24*H24/100</f>
        <v>294.88221321326739</v>
      </c>
      <c r="S24" s="21">
        <f>Q24+R24</f>
        <v>1769.2932792796041</v>
      </c>
      <c r="T24" s="21">
        <f>P24</f>
        <v>14.598129366993435</v>
      </c>
      <c r="U24" s="21">
        <f>$D$6</f>
        <v>18</v>
      </c>
      <c r="V24" s="21">
        <f>T24*U24/100</f>
        <v>2.627663286058818</v>
      </c>
      <c r="W24" s="21">
        <f>T24-V24</f>
        <v>11.970466080934617</v>
      </c>
      <c r="X24" s="21">
        <f>R24-L24</f>
        <v>56.747532496457296</v>
      </c>
      <c r="Y24" s="21">
        <f>W24</f>
        <v>11.970466080934617</v>
      </c>
      <c r="Z24" s="21">
        <f>I24+V24+X24</f>
        <v>59.375195782516116</v>
      </c>
      <c r="AA24" s="21">
        <f>IF(OR(E24="Кінцеве споживання",E24="Експорт"),S24,0)</f>
        <v>1769.2932792796041</v>
      </c>
      <c r="AB24" s="21">
        <f>IF(E24="Перехід",Q24,0)</f>
        <v>0</v>
      </c>
      <c r="AC24" s="21">
        <f>IF(E24="Перехід",R24,0)</f>
        <v>0</v>
      </c>
      <c r="AD24" s="21"/>
      <c r="AE24" s="21">
        <f>IF($H$5=0,0,SUM($AA$11:AA13,$AA$16:AA20,$AA$23:AA24)/$H$5*100-100)</f>
        <v>80.918011256985352</v>
      </c>
      <c r="AF24" s="21">
        <f>S24</f>
        <v>1769.2932792796041</v>
      </c>
      <c r="AG24" s="21" t="s">
        <v>83</v>
      </c>
      <c r="AH24" s="21">
        <f>IF($AF$44=0,0,AF24/$AF$44*100)</f>
        <v>13.364061288925724</v>
      </c>
    </row>
    <row r="25" spans="1:34" ht="14.25" customHeight="1" x14ac:dyDescent="0.25">
      <c r="A25" s="19">
        <v>3</v>
      </c>
      <c r="B25" s="20">
        <v>7.4235365432817604</v>
      </c>
      <c r="C25" s="19" t="s">
        <v>81</v>
      </c>
      <c r="D25" s="19" t="s">
        <v>79</v>
      </c>
      <c r="E25" s="19" t="s">
        <v>75</v>
      </c>
      <c r="F25" s="19" t="s">
        <v>88</v>
      </c>
      <c r="G25" s="21">
        <f>$AB$21*B25/100</f>
        <v>211.73384020841993</v>
      </c>
      <c r="H25" s="21">
        <f>IF(OR(D25="Неплатник ПДВ",E25="Експорт"),0,$D$5)</f>
        <v>20</v>
      </c>
      <c r="I25" s="21">
        <f>IF(LEFT(F25,6)="Імпорт",G25*$D$5/100,0)</f>
        <v>0</v>
      </c>
      <c r="J25" s="21">
        <f>IF(F25="Виробництво поза моделлю",G25*$D$5/100,0)</f>
        <v>0</v>
      </c>
      <c r="K25" s="21">
        <f>$AC$21*B25/100</f>
        <v>42.346768041683987</v>
      </c>
      <c r="L25" s="21">
        <f>IF(D25="Платник ПДВ",I25+J25+K25,0)</f>
        <v>42.346768041683987</v>
      </c>
      <c r="M25" s="21">
        <f>IF(D25="Неплатник ПДВ",I25+J25+K25,0)</f>
        <v>0</v>
      </c>
      <c r="N25" s="21">
        <f>G25*$D$4/100</f>
        <v>47.860266910194376</v>
      </c>
      <c r="O25" s="21">
        <f>$M$4</f>
        <v>1</v>
      </c>
      <c r="P25" s="21">
        <f>(G25+M25+N25)*O25/100</f>
        <v>2.595941071186143</v>
      </c>
      <c r="Q25" s="21">
        <f>G25+M25+N25+P25</f>
        <v>262.19004818980045</v>
      </c>
      <c r="R25" s="21">
        <f>Q25*H25/100</f>
        <v>52.438009637960093</v>
      </c>
      <c r="S25" s="21">
        <f>Q25+R25</f>
        <v>314.62805782776053</v>
      </c>
      <c r="T25" s="21">
        <f>P25</f>
        <v>2.595941071186143</v>
      </c>
      <c r="U25" s="21">
        <f>$D$6</f>
        <v>18</v>
      </c>
      <c r="V25" s="21">
        <f>T25*U25/100</f>
        <v>0.46726939281350577</v>
      </c>
      <c r="W25" s="21">
        <f>T25-V25</f>
        <v>2.1286716783726374</v>
      </c>
      <c r="X25" s="21">
        <f>R25-L25</f>
        <v>10.091241596276106</v>
      </c>
      <c r="Y25" s="21">
        <f>W25</f>
        <v>2.1286716783726374</v>
      </c>
      <c r="Z25" s="21">
        <f>I25+V25+X25</f>
        <v>10.558510989089612</v>
      </c>
      <c r="AA25" s="21">
        <f>IF(OR(E25="Кінцеве споживання",E25="Експорт"),S25,0)</f>
        <v>0</v>
      </c>
      <c r="AB25" s="21">
        <f>IF(E25="Перехід",Q25,0)</f>
        <v>262.19004818980045</v>
      </c>
      <c r="AC25" s="21">
        <f>IF(E25="Перехід",R25,0)</f>
        <v>52.438009637960093</v>
      </c>
      <c r="AD25" s="21"/>
      <c r="AE25" s="21">
        <f>IF($H$5=0,0,SUM($AA$11:AA13,$AA$16:AA20,$AA$23:AA25)/$H$5*100-100)</f>
        <v>80.918011256985352</v>
      </c>
      <c r="AF25" s="21">
        <f>S25</f>
        <v>314.62805782776053</v>
      </c>
      <c r="AG25" s="21" t="s">
        <v>83</v>
      </c>
      <c r="AH25" s="21">
        <f>IF($AF$44=0,0,AF25/$AF$44*100)</f>
        <v>2.3764904876244555</v>
      </c>
    </row>
    <row r="26" spans="1:34" ht="14.25" customHeight="1" x14ac:dyDescent="0.25">
      <c r="A26" s="19">
        <v>3</v>
      </c>
      <c r="B26" s="20">
        <v>10.515054886152299</v>
      </c>
      <c r="C26" s="19" t="s">
        <v>93</v>
      </c>
      <c r="D26" s="19" t="s">
        <v>79</v>
      </c>
      <c r="E26" s="19" t="s">
        <v>75</v>
      </c>
      <c r="F26" s="19" t="s">
        <v>88</v>
      </c>
      <c r="G26" s="21">
        <f>$AB$21*B26/100</f>
        <v>299.91001432628542</v>
      </c>
      <c r="H26" s="21">
        <f>IF(OR(D26="Неплатник ПДВ",E26="Експорт"),0,$D$5)</f>
        <v>20</v>
      </c>
      <c r="I26" s="21">
        <f>IF(LEFT(F26,6)="Імпорт",G26*$D$5/100,0)</f>
        <v>0</v>
      </c>
      <c r="J26" s="21">
        <f>IF(F26="Виробництво поза моделлю",G26*$D$5/100,0)</f>
        <v>0</v>
      </c>
      <c r="K26" s="21">
        <f>$AC$21*B26/100</f>
        <v>59.982002865257094</v>
      </c>
      <c r="L26" s="21">
        <f>IF(D26="Платник ПДВ",I26+J26+K26,0)</f>
        <v>59.982002865257094</v>
      </c>
      <c r="M26" s="21">
        <f>IF(D26="Неплатник ПДВ",I26+J26+K26,0)</f>
        <v>0</v>
      </c>
      <c r="N26" s="21">
        <f>G26*$D$4/100</f>
        <v>67.791588347744138</v>
      </c>
      <c r="O26" s="21">
        <f>$H$8</f>
        <v>11.3104239756686</v>
      </c>
      <c r="P26" s="21">
        <f>(G26+M26+N26)*O26/100</f>
        <v>41.588610227761137</v>
      </c>
      <c r="Q26" s="21">
        <f>G26+M26+N26+P26</f>
        <v>409.29021290179071</v>
      </c>
      <c r="R26" s="21">
        <f>Q26*H26/100</f>
        <v>81.858042580358145</v>
      </c>
      <c r="S26" s="21">
        <f>Q26+R26</f>
        <v>491.14825548214884</v>
      </c>
      <c r="T26" s="21">
        <f>P26</f>
        <v>41.588610227761137</v>
      </c>
      <c r="U26" s="21">
        <f>$D$6</f>
        <v>18</v>
      </c>
      <c r="V26" s="21">
        <f>T26*U26/100</f>
        <v>7.4859498409970051</v>
      </c>
      <c r="W26" s="21">
        <f>T26-V26</f>
        <v>34.102660386764128</v>
      </c>
      <c r="X26" s="21">
        <f>R26-L26</f>
        <v>21.876039715101051</v>
      </c>
      <c r="Y26" s="21">
        <f>W26</f>
        <v>34.102660386764128</v>
      </c>
      <c r="Z26" s="21">
        <f>I26+V26+X26</f>
        <v>29.361989556098056</v>
      </c>
      <c r="AA26" s="21">
        <f>IF(OR(E26="Кінцеве споживання",E26="Експорт"),S26,0)</f>
        <v>0</v>
      </c>
      <c r="AB26" s="21">
        <f>IF(E26="Перехід",Q26,0)</f>
        <v>409.29021290179071</v>
      </c>
      <c r="AC26" s="21">
        <f>IF(E26="Перехід",R26,0)</f>
        <v>81.858042580358145</v>
      </c>
      <c r="AD26" s="21"/>
      <c r="AE26" s="21">
        <f>IF($H$5=0,0,SUM($AA$11:AA13,$AA$16:AA20,$AA$23:AA26)/$H$5*100-100)</f>
        <v>80.918011256985352</v>
      </c>
      <c r="AF26" s="21">
        <f>S26</f>
        <v>491.14825548214884</v>
      </c>
      <c r="AG26" s="21" t="s">
        <v>94</v>
      </c>
      <c r="AH26" s="21">
        <f>IF($AF$44=0,0,AF26/$AF$44*100)</f>
        <v>3.7098063193259381</v>
      </c>
    </row>
    <row r="27" spans="1:34" ht="14.25" customHeight="1" x14ac:dyDescent="0.25">
      <c r="A27" s="19">
        <v>3</v>
      </c>
      <c r="B27" s="20">
        <v>0</v>
      </c>
      <c r="C27" s="19" t="s">
        <v>91</v>
      </c>
      <c r="D27" s="19" t="s">
        <v>74</v>
      </c>
      <c r="E27" s="19" t="s">
        <v>75</v>
      </c>
      <c r="F27" s="19" t="s">
        <v>88</v>
      </c>
      <c r="G27" s="21">
        <f>$AB$21*B27/100</f>
        <v>0</v>
      </c>
      <c r="H27" s="21">
        <f>IF(OR(D27="Неплатник ПДВ",E27="Експорт"),0,$D$5)</f>
        <v>0</v>
      </c>
      <c r="I27" s="21">
        <f>IF(LEFT(F27,6)="Імпорт",G27*$D$5/100,0)</f>
        <v>0</v>
      </c>
      <c r="J27" s="21">
        <f>IF(F27="Виробництво поза моделлю",G27*$D$5/100,0)</f>
        <v>0</v>
      </c>
      <c r="K27" s="21">
        <f>$AC$21*B27/100</f>
        <v>0</v>
      </c>
      <c r="L27" s="21">
        <f>IF(D27="Платник ПДВ",I27+J27+K27,0)</f>
        <v>0</v>
      </c>
      <c r="M27" s="21">
        <f>IF(D27="Неплатник ПДВ",I27+J27+K27,0)</f>
        <v>0</v>
      </c>
      <c r="N27" s="21">
        <f>G27*$D$4/100</f>
        <v>0</v>
      </c>
      <c r="O27" s="21">
        <f>$H$8</f>
        <v>11.3104239756686</v>
      </c>
      <c r="P27" s="21">
        <f>(G27+M27+N27)*O27/100</f>
        <v>0</v>
      </c>
      <c r="Q27" s="21">
        <f>G27+M27+N27+P27</f>
        <v>0</v>
      </c>
      <c r="R27" s="21">
        <f>Q27*H27/100</f>
        <v>0</v>
      </c>
      <c r="S27" s="21">
        <f>Q27+R27</f>
        <v>0</v>
      </c>
      <c r="T27" s="21">
        <f>P27</f>
        <v>0</v>
      </c>
      <c r="U27" s="21">
        <f>$D$6</f>
        <v>18</v>
      </c>
      <c r="V27" s="21">
        <f>T27*U27/100</f>
        <v>0</v>
      </c>
      <c r="W27" s="21">
        <f>T27-V27</f>
        <v>0</v>
      </c>
      <c r="X27" s="21">
        <f>R27-L27</f>
        <v>0</v>
      </c>
      <c r="Y27" s="21">
        <f>W27</f>
        <v>0</v>
      </c>
      <c r="Z27" s="21">
        <f>I27+V27+X27</f>
        <v>0</v>
      </c>
      <c r="AA27" s="21">
        <f>IF(OR(E27="Кінцеве споживання",E27="Експорт"),S27,0)</f>
        <v>0</v>
      </c>
      <c r="AB27" s="21">
        <f>IF(E27="Перехід",Q27,0)</f>
        <v>0</v>
      </c>
      <c r="AC27" s="21">
        <f>IF(E27="Перехід",R27,0)</f>
        <v>0</v>
      </c>
      <c r="AD27" s="21"/>
      <c r="AE27" s="21">
        <f>IF($H$5=0,0,SUM($AA$11:AA13,$AA$16:AA20,$AA$23:AA27)/$H$5*100-100)</f>
        <v>80.918011256985352</v>
      </c>
      <c r="AF27" s="21">
        <f>S27</f>
        <v>0</v>
      </c>
      <c r="AG27" s="21" t="s">
        <v>92</v>
      </c>
      <c r="AH27" s="21">
        <f>IF($AF$44=0,0,AF27/$AF$44*100)</f>
        <v>0</v>
      </c>
    </row>
    <row r="28" spans="1:34" ht="14.25" customHeight="1" x14ac:dyDescent="0.25">
      <c r="A28" s="22">
        <v>3</v>
      </c>
      <c r="B28" s="23">
        <f>SUM(B23:B27)</f>
        <v>100.00000000000006</v>
      </c>
      <c r="C28" s="22" t="s">
        <v>96</v>
      </c>
      <c r="D28" s="22"/>
      <c r="E28" s="22" t="s">
        <v>85</v>
      </c>
      <c r="F28" s="22"/>
      <c r="G28" s="23">
        <f>SUM(G23:G27)</f>
        <v>2852.1963753251466</v>
      </c>
      <c r="H28" s="23"/>
      <c r="I28" s="23">
        <f t="shared" ref="I28:N28" si="4">SUM(I23:I27)</f>
        <v>0</v>
      </c>
      <c r="J28" s="23">
        <f t="shared" si="4"/>
        <v>0</v>
      </c>
      <c r="K28" s="23">
        <f t="shared" si="4"/>
        <v>570.43927506502939</v>
      </c>
      <c r="L28" s="23">
        <f t="shared" si="4"/>
        <v>570.43927506502939</v>
      </c>
      <c r="M28" s="23">
        <f t="shared" si="4"/>
        <v>0</v>
      </c>
      <c r="N28" s="23">
        <f t="shared" si="4"/>
        <v>644.70979069278701</v>
      </c>
      <c r="O28" s="23"/>
      <c r="P28" s="23">
        <f>SUM(P23:P27)</f>
        <v>72.880655861200182</v>
      </c>
      <c r="Q28" s="23">
        <f>SUM(Q23:Q27)</f>
        <v>3569.7868218791341</v>
      </c>
      <c r="R28" s="23">
        <f>SUM(R23:R27)</f>
        <v>429.1782654315856</v>
      </c>
      <c r="S28" s="23">
        <f>SUM(S23:S27)</f>
        <v>3998.9650873107194</v>
      </c>
      <c r="T28" s="23">
        <f>SUM(T23:T27)</f>
        <v>72.880655861200182</v>
      </c>
      <c r="U28" s="23"/>
      <c r="V28" s="23">
        <f t="shared" ref="V28:AC28" si="5">SUM(V23:V27)</f>
        <v>13.118518055016033</v>
      </c>
      <c r="W28" s="23">
        <f t="shared" si="5"/>
        <v>59.762137806184143</v>
      </c>
      <c r="X28" s="23">
        <f t="shared" si="5"/>
        <v>-141.26100963344379</v>
      </c>
      <c r="Y28" s="23">
        <f t="shared" si="5"/>
        <v>59.762137806184143</v>
      </c>
      <c r="Z28" s="23">
        <f t="shared" si="5"/>
        <v>-128.14249157842775</v>
      </c>
      <c r="AA28" s="23">
        <f t="shared" si="5"/>
        <v>3193.1887740008101</v>
      </c>
      <c r="AB28" s="23">
        <f t="shared" si="5"/>
        <v>671.48026109159116</v>
      </c>
      <c r="AC28" s="23">
        <f t="shared" si="5"/>
        <v>134.29605221831824</v>
      </c>
      <c r="AD28" s="23" t="str">
        <f>IF(ABS(SUM(B23:B27)-100)&lt;0.01,"ОК","ПОМИЛКА")</f>
        <v>ОК</v>
      </c>
      <c r="AE28" s="23">
        <f>IF($H$5=0,0,SUM($AA$11:AA13,$AA$16:AA20,$AA$23:AA27)/$H$5*100-100)</f>
        <v>80.918011256985352</v>
      </c>
      <c r="AF28" s="23">
        <f>SUM(AF23:AF27)</f>
        <v>3998.9650873107194</v>
      </c>
      <c r="AG28" s="23"/>
      <c r="AH28" s="23"/>
    </row>
    <row r="29" spans="1:34" ht="14.25" customHeight="1" x14ac:dyDescent="0.25">
      <c r="A29" s="19"/>
      <c r="B29" s="21"/>
      <c r="C29" s="19"/>
      <c r="D29" s="19"/>
      <c r="E29" s="19"/>
      <c r="F29" s="19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</row>
    <row r="30" spans="1:34" ht="14.25" customHeight="1" x14ac:dyDescent="0.25">
      <c r="A30" s="19">
        <v>4</v>
      </c>
      <c r="B30" s="20">
        <v>50.579758941820899</v>
      </c>
      <c r="C30" s="19" t="s">
        <v>93</v>
      </c>
      <c r="D30" s="19" t="s">
        <v>79</v>
      </c>
      <c r="E30" s="19" t="s">
        <v>75</v>
      </c>
      <c r="F30" s="19" t="s">
        <v>88</v>
      </c>
      <c r="G30" s="21">
        <f>$AB$28*B30/100</f>
        <v>339.63309740203636</v>
      </c>
      <c r="H30" s="21">
        <f>IF(OR(D30="Неплатник ПДВ",E30="Експорт"),0,$D$5)</f>
        <v>20</v>
      </c>
      <c r="I30" s="21">
        <f>IF(LEFT(F30,6)="Імпорт",G30*$D$5/100,0)</f>
        <v>0</v>
      </c>
      <c r="J30" s="21">
        <f>IF(F30="Виробництво поза моделлю",G30*$D$5/100,0)</f>
        <v>0</v>
      </c>
      <c r="K30" s="21">
        <f>$AC$28*B30/100</f>
        <v>67.926619480407282</v>
      </c>
      <c r="L30" s="21">
        <f>IF(D30="Платник ПДВ",I30+J30+K30,0)</f>
        <v>67.926619480407282</v>
      </c>
      <c r="M30" s="21">
        <f>IF(D30="Неплатник ПДВ",I30+J30+K30,0)</f>
        <v>0</v>
      </c>
      <c r="N30" s="21">
        <f>G30*$D$4/100</f>
        <v>76.770584603750564</v>
      </c>
      <c r="O30" s="21">
        <f>$H$8</f>
        <v>11.3104239756686</v>
      </c>
      <c r="P30" s="21">
        <f>(G30+M30+N30)*O30/100</f>
        <v>47.09702188514936</v>
      </c>
      <c r="Q30" s="21">
        <f>G30+M30+N30+P30</f>
        <v>463.50070389093628</v>
      </c>
      <c r="R30" s="21">
        <f>Q30*H30/100</f>
        <v>92.700140778187247</v>
      </c>
      <c r="S30" s="21">
        <f>Q30+R30</f>
        <v>556.20084466912351</v>
      </c>
      <c r="T30" s="21">
        <f>P30</f>
        <v>47.09702188514936</v>
      </c>
      <c r="U30" s="21">
        <f>$D$6</f>
        <v>18</v>
      </c>
      <c r="V30" s="21">
        <f>T30*U30/100</f>
        <v>8.4774639393268849</v>
      </c>
      <c r="W30" s="21">
        <f>T30-V30</f>
        <v>38.619557945822478</v>
      </c>
      <c r="X30" s="21">
        <f>R30-L30</f>
        <v>24.773521297779965</v>
      </c>
      <c r="Y30" s="21">
        <f>W30</f>
        <v>38.619557945822478</v>
      </c>
      <c r="Z30" s="21">
        <f>I30+V30+X30</f>
        <v>33.250985237106846</v>
      </c>
      <c r="AA30" s="21">
        <f>IF(OR(E30="Кінцеве споживання",E30="Експорт"),S30,0)</f>
        <v>0</v>
      </c>
      <c r="AB30" s="21">
        <f>IF(E30="Перехід",Q30,0)</f>
        <v>463.50070389093628</v>
      </c>
      <c r="AC30" s="21">
        <f>IF(E30="Перехід",R30,0)</f>
        <v>92.700140778187247</v>
      </c>
      <c r="AD30" s="21"/>
      <c r="AE30" s="21">
        <f>IF($H$5=0,0,SUM($AA$11:AA13,$AA$16:AA20,$AA$23:AA27,$AA$30:AA30)/$H$5*100-100)</f>
        <v>80.918011256985352</v>
      </c>
      <c r="AF30" s="21">
        <f>S30</f>
        <v>556.20084466912351</v>
      </c>
      <c r="AG30" s="21" t="s">
        <v>94</v>
      </c>
      <c r="AH30" s="21">
        <f>IF($AF$44=0,0,AF30/$AF$44*100)</f>
        <v>4.2011701870799678</v>
      </c>
    </row>
    <row r="31" spans="1:34" ht="14.25" customHeight="1" x14ac:dyDescent="0.25">
      <c r="A31" s="19">
        <v>4</v>
      </c>
      <c r="B31" s="20">
        <v>49.420241058179101</v>
      </c>
      <c r="C31" s="19" t="s">
        <v>91</v>
      </c>
      <c r="D31" s="19" t="s">
        <v>74</v>
      </c>
      <c r="E31" s="19" t="s">
        <v>75</v>
      </c>
      <c r="F31" s="19" t="s">
        <v>88</v>
      </c>
      <c r="G31" s="21">
        <f>$AB$28*B31/100</f>
        <v>331.8471636895548</v>
      </c>
      <c r="H31" s="21">
        <f>IF(OR(D31="Неплатник ПДВ",E31="Експорт"),0,$D$5)</f>
        <v>0</v>
      </c>
      <c r="I31" s="21">
        <f>IF(LEFT(F31,6)="Імпорт",G31*$D$5/100,0)</f>
        <v>0</v>
      </c>
      <c r="J31" s="21">
        <f>IF(F31="Виробництво поза моделлю",G31*$D$5/100,0)</f>
        <v>0</v>
      </c>
      <c r="K31" s="21">
        <f>$AC$28*B31/100</f>
        <v>66.369432737910955</v>
      </c>
      <c r="L31" s="21">
        <f>IF(D31="Платник ПДВ",I31+J31+K31,0)</f>
        <v>0</v>
      </c>
      <c r="M31" s="21">
        <f>IF(D31="Неплатник ПДВ",I31+J31+K31,0)</f>
        <v>66.369432737910955</v>
      </c>
      <c r="N31" s="21">
        <f>G31*$D$4/100</f>
        <v>75.010653998148527</v>
      </c>
      <c r="O31" s="21">
        <f>$H$8</f>
        <v>11.3104239756686</v>
      </c>
      <c r="P31" s="21">
        <f>(G31+M31+N31)*O31/100</f>
        <v>53.524008391535972</v>
      </c>
      <c r="Q31" s="21">
        <f>G31+M31+N31+P31</f>
        <v>526.7512588171503</v>
      </c>
      <c r="R31" s="21">
        <f>Q31*H31/100</f>
        <v>0</v>
      </c>
      <c r="S31" s="21">
        <f>Q31+R31</f>
        <v>526.7512588171503</v>
      </c>
      <c r="T31" s="21">
        <f>P31</f>
        <v>53.524008391535972</v>
      </c>
      <c r="U31" s="21">
        <f>$D$6</f>
        <v>18</v>
      </c>
      <c r="V31" s="21">
        <f>T31*U31/100</f>
        <v>9.6343215104764752</v>
      </c>
      <c r="W31" s="21">
        <f>T31-V31</f>
        <v>43.889686881059497</v>
      </c>
      <c r="X31" s="21">
        <f>R31-L31</f>
        <v>0</v>
      </c>
      <c r="Y31" s="21">
        <f>W31</f>
        <v>43.889686881059497</v>
      </c>
      <c r="Z31" s="21">
        <f>I31+V31+X31</f>
        <v>9.6343215104764752</v>
      </c>
      <c r="AA31" s="21">
        <f>IF(OR(E31="Кінцеве споживання",E31="Експорт"),S31,0)</f>
        <v>0</v>
      </c>
      <c r="AB31" s="21">
        <f>IF(E31="Перехід",Q31,0)</f>
        <v>526.7512588171503</v>
      </c>
      <c r="AC31" s="21">
        <f>IF(E31="Перехід",R31,0)</f>
        <v>0</v>
      </c>
      <c r="AD31" s="21"/>
      <c r="AE31" s="21">
        <f>IF($H$5=0,0,SUM($AA$11:AA13,$AA$16:AA20,$AA$23:AA27,$AA$30:AA31)/$H$5*100-100)</f>
        <v>80.918011256985352</v>
      </c>
      <c r="AF31" s="21">
        <f>S31</f>
        <v>526.7512588171503</v>
      </c>
      <c r="AG31" s="21" t="s">
        <v>92</v>
      </c>
      <c r="AH31" s="21">
        <f>IF($AF$44=0,0,AF31/$AF$44*100)</f>
        <v>3.9787276588296496</v>
      </c>
    </row>
    <row r="32" spans="1:34" ht="14.25" customHeight="1" x14ac:dyDescent="0.25">
      <c r="A32" s="19">
        <v>4</v>
      </c>
      <c r="B32" s="20">
        <v>0</v>
      </c>
      <c r="C32" s="19" t="s">
        <v>97</v>
      </c>
      <c r="D32" s="19" t="s">
        <v>79</v>
      </c>
      <c r="E32" s="19" t="s">
        <v>90</v>
      </c>
      <c r="F32" s="19" t="s">
        <v>88</v>
      </c>
      <c r="G32" s="21">
        <f>$AB$28*B32/100</f>
        <v>0</v>
      </c>
      <c r="H32" s="21">
        <f>IF(OR(D32="Неплатник ПДВ",E32="Експорт"),0,$D$5)</f>
        <v>20</v>
      </c>
      <c r="I32" s="21">
        <f>IF(LEFT(F32,6)="Імпорт",G32*$D$5/100,0)</f>
        <v>0</v>
      </c>
      <c r="J32" s="21">
        <f>IF(F32="Виробництво поза моделлю",G32*$D$5/100,0)</f>
        <v>0</v>
      </c>
      <c r="K32" s="21">
        <f>$AC$28*B32/100</f>
        <v>0</v>
      </c>
      <c r="L32" s="21">
        <f>IF(D32="Платник ПДВ",I32+J32+K32,0)</f>
        <v>0</v>
      </c>
      <c r="M32" s="21">
        <f>IF(D32="Неплатник ПДВ",I32+J32+K32,0)</f>
        <v>0</v>
      </c>
      <c r="N32" s="21">
        <f>G32*$D$4/100</f>
        <v>0</v>
      </c>
      <c r="O32" s="21">
        <f>$M$6</f>
        <v>25</v>
      </c>
      <c r="P32" s="21">
        <f>(G32+M32+N32)*O32/100</f>
        <v>0</v>
      </c>
      <c r="Q32" s="21">
        <f>G32+M32+N32+P32</f>
        <v>0</v>
      </c>
      <c r="R32" s="21">
        <f>Q32*H32/100</f>
        <v>0</v>
      </c>
      <c r="S32" s="21">
        <f>Q32+R32</f>
        <v>0</v>
      </c>
      <c r="T32" s="21">
        <f>P32</f>
        <v>0</v>
      </c>
      <c r="U32" s="21">
        <f>$D$6</f>
        <v>18</v>
      </c>
      <c r="V32" s="21">
        <f>T32*U32/100</f>
        <v>0</v>
      </c>
      <c r="W32" s="21">
        <f>T32-V32</f>
        <v>0</v>
      </c>
      <c r="X32" s="21">
        <f>R32-L32</f>
        <v>0</v>
      </c>
      <c r="Y32" s="21">
        <f>W32</f>
        <v>0</v>
      </c>
      <c r="Z32" s="21">
        <f>I32+V32+X32</f>
        <v>0</v>
      </c>
      <c r="AA32" s="21">
        <f>IF(OR(E32="Кінцеве споживання",E32="Експорт"),S32,0)</f>
        <v>0</v>
      </c>
      <c r="AB32" s="21">
        <f>IF(E32="Перехід",Q32,0)</f>
        <v>0</v>
      </c>
      <c r="AC32" s="21">
        <f>IF(E32="Перехід",R32,0)</f>
        <v>0</v>
      </c>
      <c r="AD32" s="21"/>
      <c r="AE32" s="21">
        <f>IF($H$5=0,0,SUM($AA$11:AA13,$AA$16:AA20,$AA$23:AA27,$AA$30:AA32)/$H$5*100-100)</f>
        <v>80.918011256985352</v>
      </c>
      <c r="AF32" s="21">
        <f>S32</f>
        <v>0</v>
      </c>
      <c r="AG32" s="21" t="s">
        <v>98</v>
      </c>
      <c r="AH32" s="21">
        <f>IF($AF$44=0,0,AF32/$AF$44*100)</f>
        <v>0</v>
      </c>
    </row>
    <row r="33" spans="1:34" ht="14.25" customHeight="1" x14ac:dyDescent="0.25">
      <c r="A33" s="22">
        <v>4</v>
      </c>
      <c r="B33" s="23">
        <f>SUM(B30:B32)</f>
        <v>100</v>
      </c>
      <c r="C33" s="22" t="s">
        <v>99</v>
      </c>
      <c r="D33" s="22"/>
      <c r="E33" s="22" t="s">
        <v>85</v>
      </c>
      <c r="F33" s="22"/>
      <c r="G33" s="23">
        <f>SUM(G30:G32)</f>
        <v>671.48026109159116</v>
      </c>
      <c r="H33" s="23"/>
      <c r="I33" s="23">
        <f t="shared" ref="I33:N33" si="6">SUM(I30:I32)</f>
        <v>0</v>
      </c>
      <c r="J33" s="23">
        <f t="shared" si="6"/>
        <v>0</v>
      </c>
      <c r="K33" s="23">
        <f t="shared" si="6"/>
        <v>134.29605221831824</v>
      </c>
      <c r="L33" s="23">
        <f t="shared" si="6"/>
        <v>67.926619480407282</v>
      </c>
      <c r="M33" s="23">
        <f t="shared" si="6"/>
        <v>66.369432737910955</v>
      </c>
      <c r="N33" s="23">
        <f t="shared" si="6"/>
        <v>151.78123860189908</v>
      </c>
      <c r="O33" s="23"/>
      <c r="P33" s="23">
        <f>SUM(P30:P32)</f>
        <v>100.62103027668533</v>
      </c>
      <c r="Q33" s="23">
        <f>SUM(Q30:Q32)</f>
        <v>990.25196270808658</v>
      </c>
      <c r="R33" s="23">
        <f>SUM(R30:R32)</f>
        <v>92.700140778187247</v>
      </c>
      <c r="S33" s="23">
        <f>SUM(S30:S32)</f>
        <v>1082.9521034862737</v>
      </c>
      <c r="T33" s="23">
        <f>SUM(T30:T32)</f>
        <v>100.62103027668533</v>
      </c>
      <c r="U33" s="23"/>
      <c r="V33" s="23">
        <f t="shared" ref="V33:AC33" si="7">SUM(V30:V32)</f>
        <v>18.11178544980336</v>
      </c>
      <c r="W33" s="23">
        <f t="shared" si="7"/>
        <v>82.509244826881968</v>
      </c>
      <c r="X33" s="23">
        <f t="shared" si="7"/>
        <v>24.773521297779965</v>
      </c>
      <c r="Y33" s="23">
        <f t="shared" si="7"/>
        <v>82.509244826881968</v>
      </c>
      <c r="Z33" s="23">
        <f t="shared" si="7"/>
        <v>42.885306747583321</v>
      </c>
      <c r="AA33" s="23">
        <f t="shared" si="7"/>
        <v>0</v>
      </c>
      <c r="AB33" s="23">
        <f t="shared" si="7"/>
        <v>990.25196270808658</v>
      </c>
      <c r="AC33" s="23">
        <f t="shared" si="7"/>
        <v>92.700140778187247</v>
      </c>
      <c r="AD33" s="23" t="str">
        <f>IF(ABS(SUM(B30:B32)-100)&lt;0.01,"ОК","ПОМИЛКА")</f>
        <v>ОК</v>
      </c>
      <c r="AE33" s="23">
        <f>IF($H$5=0,0,SUM($AA$11:AA13,$AA$16:AA20,$AA$23:AA27,$AA$30:AA32)/$H$5*100-100)</f>
        <v>80.918011256985352</v>
      </c>
      <c r="AF33" s="23">
        <f>SUM(AF30:AF32)</f>
        <v>1082.9521034862737</v>
      </c>
      <c r="AG33" s="23"/>
      <c r="AH33" s="23"/>
    </row>
    <row r="34" spans="1:34" ht="14.25" customHeight="1" x14ac:dyDescent="0.25">
      <c r="A34" s="19"/>
      <c r="B34" s="21"/>
      <c r="C34" s="19"/>
      <c r="D34" s="19"/>
      <c r="E34" s="19"/>
      <c r="F34" s="19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</row>
    <row r="35" spans="1:34" ht="14.25" customHeight="1" x14ac:dyDescent="0.25">
      <c r="A35" s="19">
        <v>5</v>
      </c>
      <c r="B35" s="20">
        <v>2.8246484200074501E-15</v>
      </c>
      <c r="C35" s="19" t="s">
        <v>93</v>
      </c>
      <c r="D35" s="19" t="s">
        <v>79</v>
      </c>
      <c r="E35" s="19" t="s">
        <v>75</v>
      </c>
      <c r="F35" s="19" t="s">
        <v>88</v>
      </c>
      <c r="G35" s="21">
        <f>$AB$33*B35/100</f>
        <v>2.7971136418726731E-14</v>
      </c>
      <c r="H35" s="21">
        <f>IF(OR(D35="Неплатник ПДВ",E35="Експорт"),0,$D$5)</f>
        <v>20</v>
      </c>
      <c r="I35" s="21">
        <f>IF(LEFT(F35,6)="Імпорт",G35*$D$5/100,0)</f>
        <v>0</v>
      </c>
      <c r="J35" s="21">
        <f>IF(F35="Виробництво поза моделлю",G35*$D$5/100,0)</f>
        <v>0</v>
      </c>
      <c r="K35" s="21">
        <f>$AC$33*B35/100</f>
        <v>2.618453061835748E-15</v>
      </c>
      <c r="L35" s="21">
        <f>IF(D35="Платник ПДВ",I35+J35+K35,0)</f>
        <v>2.618453061835748E-15</v>
      </c>
      <c r="M35" s="21">
        <f>IF(D35="Неплатник ПДВ",I35+J35+K35,0)</f>
        <v>0</v>
      </c>
      <c r="N35" s="21">
        <f>G35*$D$4/100</f>
        <v>6.322589027167155E-15</v>
      </c>
      <c r="O35" s="21">
        <f>$H$8</f>
        <v>11.3104239756686</v>
      </c>
      <c r="P35" s="21">
        <f>(G35+M35+N35)*O35/100</f>
        <v>3.8787657449823458E-15</v>
      </c>
      <c r="Q35" s="21">
        <f>G35+M35+N35+P35</f>
        <v>3.8172491190876233E-14</v>
      </c>
      <c r="R35" s="21">
        <f>Q35*H35/100</f>
        <v>7.6344982381752472E-15</v>
      </c>
      <c r="S35" s="21">
        <f>Q35+R35</f>
        <v>4.5806989429051477E-14</v>
      </c>
      <c r="T35" s="21">
        <f>P35</f>
        <v>3.8787657449823458E-15</v>
      </c>
      <c r="U35" s="21">
        <f>$D$6</f>
        <v>18</v>
      </c>
      <c r="V35" s="21">
        <f>T35*U35/100</f>
        <v>6.9817783409682224E-16</v>
      </c>
      <c r="W35" s="21">
        <f>T35-V35</f>
        <v>3.1805879108855234E-15</v>
      </c>
      <c r="X35" s="21">
        <f>R35-L35</f>
        <v>5.0160451763394992E-15</v>
      </c>
      <c r="Y35" s="21">
        <f>W35</f>
        <v>3.1805879108855234E-15</v>
      </c>
      <c r="Z35" s="21">
        <f>I35+V35+X35</f>
        <v>5.7142230104363216E-15</v>
      </c>
      <c r="AA35" s="21">
        <f>IF(OR(E35="Кінцеве споживання",E35="Експорт"),S35,0)</f>
        <v>0</v>
      </c>
      <c r="AB35" s="21">
        <f>IF(E35="Перехід",Q35,0)</f>
        <v>3.8172491190876233E-14</v>
      </c>
      <c r="AC35" s="21">
        <f>IF(E35="Перехід",R35,0)</f>
        <v>7.6344982381752472E-15</v>
      </c>
      <c r="AD35" s="21"/>
      <c r="AE35" s="21">
        <f>IF($H$5=0,0,SUM($AA$11:AA13,$AA$16:AA20,$AA$23:AA27,$AA$30:AA32,$AA$35:AA35)/$H$5*100-100)</f>
        <v>80.918011256985352</v>
      </c>
      <c r="AF35" s="21">
        <f>S35</f>
        <v>4.5806989429051477E-14</v>
      </c>
      <c r="AG35" s="21" t="s">
        <v>94</v>
      </c>
      <c r="AH35" s="21">
        <f>IF($AF$44=0,0,AF35/$AF$44*100)</f>
        <v>3.4599544426024749E-16</v>
      </c>
    </row>
    <row r="36" spans="1:34" ht="14.25" customHeight="1" x14ac:dyDescent="0.25">
      <c r="A36" s="19">
        <v>5</v>
      </c>
      <c r="B36" s="20">
        <v>0</v>
      </c>
      <c r="C36" s="19" t="s">
        <v>97</v>
      </c>
      <c r="D36" s="19" t="s">
        <v>79</v>
      </c>
      <c r="E36" s="19" t="s">
        <v>90</v>
      </c>
      <c r="F36" s="19" t="s">
        <v>88</v>
      </c>
      <c r="G36" s="21">
        <f>$AB$33*B36/100</f>
        <v>0</v>
      </c>
      <c r="H36" s="21">
        <f>IF(OR(D36="Неплатник ПДВ",E36="Експорт"),0,$D$5)</f>
        <v>20</v>
      </c>
      <c r="I36" s="21">
        <f>IF(LEFT(F36,6)="Імпорт",G36*$D$5/100,0)</f>
        <v>0</v>
      </c>
      <c r="J36" s="21">
        <f>IF(F36="Виробництво поза моделлю",G36*$D$5/100,0)</f>
        <v>0</v>
      </c>
      <c r="K36" s="21">
        <f>$AC$33*B36/100</f>
        <v>0</v>
      </c>
      <c r="L36" s="21">
        <f>IF(D36="Платник ПДВ",I36+J36+K36,0)</f>
        <v>0</v>
      </c>
      <c r="M36" s="21">
        <f>IF(D36="Неплатник ПДВ",I36+J36+K36,0)</f>
        <v>0</v>
      </c>
      <c r="N36" s="21">
        <f>G36*$D$4/100</f>
        <v>0</v>
      </c>
      <c r="O36" s="21">
        <f>$M$6</f>
        <v>25</v>
      </c>
      <c r="P36" s="21">
        <f>(G36+M36+N36)*O36/100</f>
        <v>0</v>
      </c>
      <c r="Q36" s="21">
        <f>G36+M36+N36+P36</f>
        <v>0</v>
      </c>
      <c r="R36" s="21">
        <f>Q36*H36/100</f>
        <v>0</v>
      </c>
      <c r="S36" s="21">
        <f>Q36+R36</f>
        <v>0</v>
      </c>
      <c r="T36" s="21">
        <f>P36</f>
        <v>0</v>
      </c>
      <c r="U36" s="21">
        <f>$D$6</f>
        <v>18</v>
      </c>
      <c r="V36" s="21">
        <f>T36*U36/100</f>
        <v>0</v>
      </c>
      <c r="W36" s="21">
        <f>T36-V36</f>
        <v>0</v>
      </c>
      <c r="X36" s="21">
        <f>R36-L36</f>
        <v>0</v>
      </c>
      <c r="Y36" s="21">
        <f>W36</f>
        <v>0</v>
      </c>
      <c r="Z36" s="21">
        <f>I36+V36+X36</f>
        <v>0</v>
      </c>
      <c r="AA36" s="21">
        <f>IF(OR(E36="Кінцеве споживання",E36="Експорт"),S36,0)</f>
        <v>0</v>
      </c>
      <c r="AB36" s="21">
        <f>IF(E36="Перехід",Q36,0)</f>
        <v>0</v>
      </c>
      <c r="AC36" s="21">
        <f>IF(E36="Перехід",R36,0)</f>
        <v>0</v>
      </c>
      <c r="AD36" s="21"/>
      <c r="AE36" s="21">
        <f>IF($H$5=0,0,SUM($AA$11:AA13,$AA$16:AA20,$AA$23:AA27,$AA$30:AA32,$AA$35:AA36)/$H$5*100-100)</f>
        <v>80.918011256985352</v>
      </c>
      <c r="AF36" s="21">
        <f>S36</f>
        <v>0</v>
      </c>
      <c r="AG36" s="21" t="s">
        <v>98</v>
      </c>
      <c r="AH36" s="21">
        <f>IF($AF$44=0,0,AF36/$AF$44*100)</f>
        <v>0</v>
      </c>
    </row>
    <row r="37" spans="1:34" ht="14.25" customHeight="1" x14ac:dyDescent="0.25">
      <c r="A37" s="19">
        <v>5</v>
      </c>
      <c r="B37" s="20">
        <v>100</v>
      </c>
      <c r="C37" s="19" t="s">
        <v>100</v>
      </c>
      <c r="D37" s="19" t="s">
        <v>74</v>
      </c>
      <c r="E37" s="19" t="s">
        <v>90</v>
      </c>
      <c r="F37" s="19" t="s">
        <v>88</v>
      </c>
      <c r="G37" s="21">
        <f>$AB$33*B37/100</f>
        <v>990.25196270808669</v>
      </c>
      <c r="H37" s="21">
        <f>IF(OR(D37="Неплатник ПДВ",E37="Експорт"),0,$D$5)</f>
        <v>0</v>
      </c>
      <c r="I37" s="21">
        <f>IF(LEFT(F37,6)="Імпорт",G37*$D$5/100,0)</f>
        <v>0</v>
      </c>
      <c r="J37" s="21">
        <f>IF(F37="Виробництво поза моделлю",G37*$D$5/100,0)</f>
        <v>0</v>
      </c>
      <c r="K37" s="21">
        <f>$AC$33*B37/100</f>
        <v>92.700140778187247</v>
      </c>
      <c r="L37" s="21">
        <f>IF(D37="Платник ПДВ",I37+J37+K37,0)</f>
        <v>0</v>
      </c>
      <c r="M37" s="21">
        <f>IF(D37="Неплатник ПДВ",I37+J37+K37,0)</f>
        <v>92.700140778187247</v>
      </c>
      <c r="N37" s="21">
        <f>G37*$D$4/100</f>
        <v>223.83631826117605</v>
      </c>
      <c r="O37" s="21">
        <f>$M$6</f>
        <v>25</v>
      </c>
      <c r="P37" s="21">
        <f>(G37+M37+N37)*O37/100</f>
        <v>326.6971054368625</v>
      </c>
      <c r="Q37" s="21">
        <f>G37+M37+N37+P37</f>
        <v>1633.4855271843126</v>
      </c>
      <c r="R37" s="21">
        <f>Q37*H37/100</f>
        <v>0</v>
      </c>
      <c r="S37" s="21">
        <f>Q37+R37</f>
        <v>1633.4855271843126</v>
      </c>
      <c r="T37" s="21">
        <f>P37</f>
        <v>326.6971054368625</v>
      </c>
      <c r="U37" s="21">
        <f>$D$6</f>
        <v>18</v>
      </c>
      <c r="V37" s="21">
        <f>T37*U37/100</f>
        <v>58.80547897863525</v>
      </c>
      <c r="W37" s="21">
        <f>T37-V37</f>
        <v>267.89162645822728</v>
      </c>
      <c r="X37" s="21">
        <f>R37-L37</f>
        <v>0</v>
      </c>
      <c r="Y37" s="21">
        <f>W37</f>
        <v>267.89162645822728</v>
      </c>
      <c r="Z37" s="21">
        <f>I37+V37+X37</f>
        <v>58.80547897863525</v>
      </c>
      <c r="AA37" s="21">
        <f>IF(OR(E37="Кінцеве споживання",E37="Експорт"),S37,0)</f>
        <v>1633.4855271843126</v>
      </c>
      <c r="AB37" s="21">
        <f>IF(E37="Перехід",Q37,0)</f>
        <v>0</v>
      </c>
      <c r="AC37" s="21">
        <f>IF(E37="Перехід",R37,0)</f>
        <v>0</v>
      </c>
      <c r="AD37" s="21"/>
      <c r="AE37" s="21">
        <f>IF($H$5=0,0,SUM($AA$11:AA13,$AA$16:AA20,$AA$23:AA27,$AA$30:AA32,$AA$35:AA37)/$H$5*100-100)</f>
        <v>166.24069196769267</v>
      </c>
      <c r="AF37" s="21">
        <f>S37</f>
        <v>1633.4855271843126</v>
      </c>
      <c r="AG37" s="21" t="s">
        <v>98</v>
      </c>
      <c r="AH37" s="21">
        <f>IF($AF$44=0,0,AF37/$AF$44*100)</f>
        <v>12.338260115221109</v>
      </c>
    </row>
    <row r="38" spans="1:34" ht="14.25" customHeight="1" x14ac:dyDescent="0.25">
      <c r="A38" s="22">
        <v>5</v>
      </c>
      <c r="B38" s="23">
        <f>SUM(B35:B37)</f>
        <v>100</v>
      </c>
      <c r="C38" s="22" t="s">
        <v>101</v>
      </c>
      <c r="D38" s="22"/>
      <c r="E38" s="22" t="s">
        <v>85</v>
      </c>
      <c r="F38" s="22"/>
      <c r="G38" s="23">
        <f>SUM(G35:G37)</f>
        <v>990.25196270808669</v>
      </c>
      <c r="H38" s="23"/>
      <c r="I38" s="23">
        <f t="shared" ref="I38:N38" si="8">SUM(I35:I37)</f>
        <v>0</v>
      </c>
      <c r="J38" s="23">
        <f t="shared" si="8"/>
        <v>0</v>
      </c>
      <c r="K38" s="23">
        <f t="shared" si="8"/>
        <v>92.700140778187247</v>
      </c>
      <c r="L38" s="23">
        <f t="shared" si="8"/>
        <v>2.618453061835748E-15</v>
      </c>
      <c r="M38" s="23">
        <f t="shared" si="8"/>
        <v>92.700140778187247</v>
      </c>
      <c r="N38" s="23">
        <f t="shared" si="8"/>
        <v>223.83631826117605</v>
      </c>
      <c r="O38" s="23"/>
      <c r="P38" s="23">
        <f>SUM(P35:P37)</f>
        <v>326.6971054368625</v>
      </c>
      <c r="Q38" s="23">
        <f>SUM(Q35:Q37)</f>
        <v>1633.4855271843126</v>
      </c>
      <c r="R38" s="23">
        <f>SUM(R35:R37)</f>
        <v>7.6344982381752472E-15</v>
      </c>
      <c r="S38" s="23">
        <f>SUM(S35:S37)</f>
        <v>1633.4855271843126</v>
      </c>
      <c r="T38" s="23">
        <f>SUM(T35:T37)</f>
        <v>326.6971054368625</v>
      </c>
      <c r="U38" s="23"/>
      <c r="V38" s="23">
        <f t="shared" ref="V38:AC38" si="9">SUM(V35:V37)</f>
        <v>58.80547897863525</v>
      </c>
      <c r="W38" s="23">
        <f t="shared" si="9"/>
        <v>267.89162645822728</v>
      </c>
      <c r="X38" s="23">
        <f t="shared" si="9"/>
        <v>5.0160451763394992E-15</v>
      </c>
      <c r="Y38" s="23">
        <f t="shared" si="9"/>
        <v>267.89162645822728</v>
      </c>
      <c r="Z38" s="23">
        <f t="shared" si="9"/>
        <v>58.805478978635257</v>
      </c>
      <c r="AA38" s="23">
        <f t="shared" si="9"/>
        <v>1633.4855271843126</v>
      </c>
      <c r="AB38" s="23">
        <f t="shared" si="9"/>
        <v>3.8172491190876233E-14</v>
      </c>
      <c r="AC38" s="23">
        <f t="shared" si="9"/>
        <v>7.6344982381752472E-15</v>
      </c>
      <c r="AD38" s="23" t="str">
        <f>IF(ABS(SUM(B35:B37)-100)&lt;0.01,"ОК","ПОМИЛКА")</f>
        <v>ОК</v>
      </c>
      <c r="AE38" s="23">
        <f>IF($H$5=0,0,SUM($AA$11:AA13,$AA$16:AA20,$AA$23:AA27,$AA$30:AA32,$AA$35:AA37)/$H$5*100-100)</f>
        <v>166.24069196769267</v>
      </c>
      <c r="AF38" s="23">
        <f>SUM(AF35:AF37)</f>
        <v>1633.4855271843126</v>
      </c>
      <c r="AG38" s="23"/>
      <c r="AH38" s="23"/>
    </row>
    <row r="39" spans="1:34" ht="14.25" customHeight="1" x14ac:dyDescent="0.25">
      <c r="A39" s="19"/>
      <c r="B39" s="21"/>
      <c r="C39" s="19"/>
      <c r="D39" s="19"/>
      <c r="E39" s="19"/>
      <c r="F39" s="19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</row>
    <row r="40" spans="1:34" ht="14.25" customHeight="1" x14ac:dyDescent="0.25">
      <c r="A40" s="19">
        <v>6</v>
      </c>
      <c r="B40" s="20">
        <v>34.850561025868203</v>
      </c>
      <c r="C40" s="19" t="s">
        <v>97</v>
      </c>
      <c r="D40" s="19" t="s">
        <v>79</v>
      </c>
      <c r="E40" s="19" t="s">
        <v>90</v>
      </c>
      <c r="F40" s="19" t="s">
        <v>88</v>
      </c>
      <c r="G40" s="21">
        <f>$AB$38*B40/100</f>
        <v>1.3303327337570485E-14</v>
      </c>
      <c r="H40" s="21">
        <f>IF(OR(D40="Неплатник ПДВ",E40="Експорт"),0,$D$5)</f>
        <v>20</v>
      </c>
      <c r="I40" s="21">
        <f>IF(LEFT(F40,6)="Імпорт",G40*$D$5/100,0)</f>
        <v>0</v>
      </c>
      <c r="J40" s="21">
        <f>IF(F40="Виробництво поза моделлю",G40*$D$5/100,0)</f>
        <v>0</v>
      </c>
      <c r="K40" s="21">
        <f>$AC$38*B40/100</f>
        <v>2.6606654675140973E-15</v>
      </c>
      <c r="L40" s="21">
        <f>IF(D40="Платник ПДВ",I40+J40+K40,0)</f>
        <v>2.6606654675140973E-15</v>
      </c>
      <c r="M40" s="21">
        <f>IF(D40="Неплатник ПДВ",I40+J40+K40,0)</f>
        <v>0</v>
      </c>
      <c r="N40" s="21">
        <f>G40*$D$4/100</f>
        <v>3.007080949096627E-15</v>
      </c>
      <c r="O40" s="21">
        <f>$M$6</f>
        <v>25</v>
      </c>
      <c r="P40" s="21">
        <f>(G40+M40+N40)*O40/100</f>
        <v>4.0776020716667781E-15</v>
      </c>
      <c r="Q40" s="21">
        <f>G40+M40+N40+P40</f>
        <v>2.0388010358333892E-14</v>
      </c>
      <c r="R40" s="21">
        <f>Q40*H40/100</f>
        <v>4.0776020716667781E-15</v>
      </c>
      <c r="S40" s="21">
        <f>Q40+R40</f>
        <v>2.446561243000067E-14</v>
      </c>
      <c r="T40" s="21">
        <f>P40</f>
        <v>4.0776020716667781E-15</v>
      </c>
      <c r="U40" s="21">
        <f>$D$6</f>
        <v>18</v>
      </c>
      <c r="V40" s="21">
        <f>T40*U40/100</f>
        <v>7.3396837290002009E-16</v>
      </c>
      <c r="W40" s="21">
        <f>T40-V40</f>
        <v>3.343633698766758E-15</v>
      </c>
      <c r="X40" s="21">
        <f>R40-L40</f>
        <v>1.4169366041526809E-15</v>
      </c>
      <c r="Y40" s="21">
        <f>W40</f>
        <v>3.343633698766758E-15</v>
      </c>
      <c r="Z40" s="21">
        <f>I40+V40+X40</f>
        <v>2.1509049770527011E-15</v>
      </c>
      <c r="AA40" s="21">
        <f>IF(OR(E40="Кінцеве споживання",E40="Експорт"),S40,0)</f>
        <v>2.446561243000067E-14</v>
      </c>
      <c r="AB40" s="21">
        <f>IF(E40="Перехід",Q40,0)</f>
        <v>0</v>
      </c>
      <c r="AC40" s="21">
        <f>IF(E40="Перехід",R40,0)</f>
        <v>0</v>
      </c>
      <c r="AD40" s="21"/>
      <c r="AE40" s="21">
        <f>IF($H$5=0,0,SUM($AA$11:AA13,$AA$16:AA20,$AA$23:AA27,$AA$30:AA32,$AA$35:AA37,$AA$40:AA40)/$H$5*100-100)</f>
        <v>166.24069196769267</v>
      </c>
      <c r="AF40" s="21">
        <f>S40</f>
        <v>2.446561243000067E-14</v>
      </c>
      <c r="AG40" s="21" t="s">
        <v>98</v>
      </c>
      <c r="AH40" s="21">
        <f>IF($AF$44=0,0,AF40/$AF$44*100)</f>
        <v>1.8479691739899613E-16</v>
      </c>
    </row>
    <row r="41" spans="1:34" ht="14.25" customHeight="1" x14ac:dyDescent="0.25">
      <c r="A41" s="19">
        <v>6</v>
      </c>
      <c r="B41" s="20">
        <v>65.149438974131797</v>
      </c>
      <c r="C41" s="19" t="s">
        <v>100</v>
      </c>
      <c r="D41" s="19" t="s">
        <v>74</v>
      </c>
      <c r="E41" s="19" t="s">
        <v>90</v>
      </c>
      <c r="F41" s="19" t="s">
        <v>88</v>
      </c>
      <c r="G41" s="21">
        <f>$AB$38*B41/100</f>
        <v>2.4869163853305747E-14</v>
      </c>
      <c r="H41" s="21">
        <f>IF(OR(D41="Неплатник ПДВ",E41="Експорт"),0,$D$5)</f>
        <v>0</v>
      </c>
      <c r="I41" s="21">
        <f>IF(LEFT(F41,6)="Імпорт",G41*$D$5/100,0)</f>
        <v>0</v>
      </c>
      <c r="J41" s="21">
        <f>IF(F41="Виробництво поза моделлю",G41*$D$5/100,0)</f>
        <v>0</v>
      </c>
      <c r="K41" s="21">
        <f>$AC$38*B41/100</f>
        <v>4.9738327706611499E-15</v>
      </c>
      <c r="L41" s="21">
        <f>IF(D41="Платник ПДВ",I41+J41+K41,0)</f>
        <v>0</v>
      </c>
      <c r="M41" s="21">
        <f>IF(D41="Неплатник ПДВ",I41+J41+K41,0)</f>
        <v>4.9738327706611499E-15</v>
      </c>
      <c r="N41" s="21">
        <f>G41*$D$4/100</f>
        <v>5.6214198858385368E-15</v>
      </c>
      <c r="O41" s="21">
        <f>$M$6</f>
        <v>25</v>
      </c>
      <c r="P41" s="21">
        <f>(G41+M41+N41)*O41/100</f>
        <v>8.8661041274513579E-15</v>
      </c>
      <c r="Q41" s="21">
        <f>G41+M41+N41+P41</f>
        <v>4.433052063725679E-14</v>
      </c>
      <c r="R41" s="21">
        <f>Q41*H41/100</f>
        <v>0</v>
      </c>
      <c r="S41" s="21">
        <f>Q41+R41</f>
        <v>4.433052063725679E-14</v>
      </c>
      <c r="T41" s="21">
        <f>P41</f>
        <v>8.8661041274513579E-15</v>
      </c>
      <c r="U41" s="21">
        <f>$D$6</f>
        <v>18</v>
      </c>
      <c r="V41" s="21">
        <f>T41*U41/100</f>
        <v>1.5958987429412444E-15</v>
      </c>
      <c r="W41" s="21">
        <f>T41-V41</f>
        <v>7.2702053845101129E-15</v>
      </c>
      <c r="X41" s="21">
        <f>R41-L41</f>
        <v>0</v>
      </c>
      <c r="Y41" s="21">
        <f>W41</f>
        <v>7.2702053845101129E-15</v>
      </c>
      <c r="Z41" s="21">
        <f>I41+V41+X41</f>
        <v>1.5958987429412444E-15</v>
      </c>
      <c r="AA41" s="21">
        <f>IF(OR(E41="Кінцеве споживання",E41="Експорт"),S41,0)</f>
        <v>4.433052063725679E-14</v>
      </c>
      <c r="AB41" s="21">
        <f>IF(E41="Перехід",Q41,0)</f>
        <v>0</v>
      </c>
      <c r="AC41" s="21">
        <f>IF(E41="Перехід",R41,0)</f>
        <v>0</v>
      </c>
      <c r="AD41" s="21"/>
      <c r="AE41" s="21">
        <f>IF($H$5=0,0,SUM($AA$11:AA13,$AA$16:AA20,$AA$23:AA27,$AA$30:AA32,$AA$35:AA37,$AA$40:AA41)/$H$5*100-100)</f>
        <v>166.24069196769267</v>
      </c>
      <c r="AF41" s="21">
        <f>S41</f>
        <v>4.433052063725679E-14</v>
      </c>
      <c r="AG41" s="21" t="s">
        <v>98</v>
      </c>
      <c r="AH41" s="21">
        <f>IF($AF$44=0,0,AF41/$AF$44*100)</f>
        <v>3.3484318383185522E-16</v>
      </c>
    </row>
    <row r="42" spans="1:34" ht="14.25" customHeight="1" x14ac:dyDescent="0.25">
      <c r="A42" s="22">
        <v>6</v>
      </c>
      <c r="B42" s="23">
        <f>SUM(B40:B41)</f>
        <v>100</v>
      </c>
      <c r="C42" s="22" t="s">
        <v>102</v>
      </c>
      <c r="D42" s="22"/>
      <c r="E42" s="22" t="s">
        <v>85</v>
      </c>
      <c r="F42" s="22"/>
      <c r="G42" s="23">
        <f>SUM(G40:G41)</f>
        <v>3.8172491190876233E-14</v>
      </c>
      <c r="H42" s="23"/>
      <c r="I42" s="23">
        <f t="shared" ref="I42:N42" si="10">SUM(I40:I41)</f>
        <v>0</v>
      </c>
      <c r="J42" s="23">
        <f t="shared" si="10"/>
        <v>0</v>
      </c>
      <c r="K42" s="23">
        <f t="shared" si="10"/>
        <v>7.6344982381752472E-15</v>
      </c>
      <c r="L42" s="23">
        <f t="shared" si="10"/>
        <v>2.6606654675140973E-15</v>
      </c>
      <c r="M42" s="23">
        <f t="shared" si="10"/>
        <v>4.9738327706611499E-15</v>
      </c>
      <c r="N42" s="23">
        <f t="shared" si="10"/>
        <v>8.6285008349351646E-15</v>
      </c>
      <c r="O42" s="23"/>
      <c r="P42" s="23">
        <f>SUM(P40:P41)</f>
        <v>1.2943706199118137E-14</v>
      </c>
      <c r="Q42" s="23">
        <f>SUM(Q40:Q41)</f>
        <v>6.4718530995590678E-14</v>
      </c>
      <c r="R42" s="23">
        <f>SUM(R40:R41)</f>
        <v>4.0776020716667781E-15</v>
      </c>
      <c r="S42" s="23">
        <f>SUM(S40:S41)</f>
        <v>6.8796133067257463E-14</v>
      </c>
      <c r="T42" s="23">
        <f>SUM(T40:T41)</f>
        <v>1.2943706199118137E-14</v>
      </c>
      <c r="U42" s="23"/>
      <c r="V42" s="23">
        <f t="shared" ref="V42:AC42" si="11">SUM(V40:V41)</f>
        <v>2.3298671158412644E-15</v>
      </c>
      <c r="W42" s="23">
        <f t="shared" si="11"/>
        <v>1.0613839083276871E-14</v>
      </c>
      <c r="X42" s="23">
        <f t="shared" si="11"/>
        <v>1.4169366041526809E-15</v>
      </c>
      <c r="Y42" s="23">
        <f t="shared" si="11"/>
        <v>1.0613839083276871E-14</v>
      </c>
      <c r="Z42" s="23">
        <f t="shared" si="11"/>
        <v>3.7468037199939457E-15</v>
      </c>
      <c r="AA42" s="23">
        <f t="shared" si="11"/>
        <v>6.8796133067257463E-14</v>
      </c>
      <c r="AB42" s="23">
        <f t="shared" si="11"/>
        <v>0</v>
      </c>
      <c r="AC42" s="23">
        <f t="shared" si="11"/>
        <v>0</v>
      </c>
      <c r="AD42" s="23" t="str">
        <f>IF(ABS(SUM(B40:B41)-100)&lt;0.01,"ОК","ПОМИЛКА")</f>
        <v>ОК</v>
      </c>
      <c r="AE42" s="23">
        <f>IF($H$5=0,0,SUM($AA$11:AA13,$AA$16:AA20,$AA$23:AA27,$AA$30:AA32,$AA$35:AA37,$AA$40:AA41)/$H$5*100-100)</f>
        <v>166.24069196769267</v>
      </c>
      <c r="AF42" s="23">
        <f>SUM(AF40:AF41)</f>
        <v>6.8796133067257463E-14</v>
      </c>
      <c r="AG42" s="23"/>
      <c r="AH42" s="23"/>
    </row>
    <row r="43" spans="1:34" ht="14.25" customHeight="1" x14ac:dyDescent="0.25">
      <c r="A43" s="19"/>
      <c r="B43" s="21"/>
      <c r="C43" s="19"/>
      <c r="D43" s="19"/>
      <c r="E43" s="19"/>
      <c r="F43" s="19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</row>
    <row r="44" spans="1:34" ht="14.25" customHeight="1" x14ac:dyDescent="0.25">
      <c r="A44" s="24"/>
      <c r="B44" s="25">
        <f>SUM(B14,B21,B28,B33,B38,B42)</f>
        <v>600.00000000000011</v>
      </c>
      <c r="C44" s="24" t="s">
        <v>103</v>
      </c>
      <c r="D44" s="24"/>
      <c r="E44" s="24"/>
      <c r="F44" s="24"/>
      <c r="G44" s="25">
        <f>SUM(G14,G21,G28,G33,G38,G42)</f>
        <v>8861.6675913874042</v>
      </c>
      <c r="H44" s="25"/>
      <c r="I44" s="25">
        <f t="shared" ref="I44:N44" si="12">SUM(I14,I21,I28,I33,I38,I42)</f>
        <v>247.75621550286399</v>
      </c>
      <c r="J44" s="25">
        <f t="shared" si="12"/>
        <v>135.13975391065301</v>
      </c>
      <c r="K44" s="25">
        <f t="shared" si="12"/>
        <v>1194.8764678982693</v>
      </c>
      <c r="L44" s="25">
        <f t="shared" si="12"/>
        <v>1356.7638099199721</v>
      </c>
      <c r="M44" s="25">
        <f t="shared" si="12"/>
        <v>221.00862739181417</v>
      </c>
      <c r="N44" s="25">
        <f t="shared" si="12"/>
        <v>2003.0892358809376</v>
      </c>
      <c r="O44" s="25"/>
      <c r="P44" s="25">
        <f>SUM(P14,P21,P28,P33,P38,P42)</f>
        <v>643.55555555555463</v>
      </c>
      <c r="Q44" s="25">
        <f>SUM(Q14,Q21,Q28,Q33,Q38,Q42)</f>
        <v>11729.32101021571</v>
      </c>
      <c r="R44" s="25">
        <f>SUM(R14,R21,R28,R33,R38,R42)</f>
        <v>1509.8675944171364</v>
      </c>
      <c r="S44" s="25">
        <f>SUM(S14,S21,S28,S33,S38,S42)</f>
        <v>13239.188604632847</v>
      </c>
      <c r="T44" s="25">
        <f>SUM(T14,T21,T28,T33,T38,T42)</f>
        <v>643.55555555555463</v>
      </c>
      <c r="U44" s="25"/>
      <c r="V44" s="25">
        <f t="shared" ref="V44:AC44" si="13">SUM(V14,V21,V28,V33,V38,V42)</f>
        <v>115.83999999999983</v>
      </c>
      <c r="W44" s="25">
        <f t="shared" si="13"/>
        <v>527.71555555555483</v>
      </c>
      <c r="X44" s="25">
        <f t="shared" si="13"/>
        <v>153.10378449716444</v>
      </c>
      <c r="Y44" s="25">
        <f t="shared" si="13"/>
        <v>527.71555555555483</v>
      </c>
      <c r="Z44" s="25">
        <f t="shared" si="13"/>
        <v>516.70000000002824</v>
      </c>
      <c r="AA44" s="25">
        <f t="shared" si="13"/>
        <v>5097.124392414762</v>
      </c>
      <c r="AB44" s="25">
        <f t="shared" si="13"/>
        <v>6947.1877443198164</v>
      </c>
      <c r="AC44" s="25">
        <f t="shared" si="13"/>
        <v>1194.8764678982689</v>
      </c>
      <c r="AD44" s="25" t="str">
        <f>IF(COUNTIF(AD14:AD42,"ПОМИЛКА")=0,"ОК","ПОМИЛКА")</f>
        <v>ОК</v>
      </c>
      <c r="AE44" s="25">
        <f>IF($H$5=0,0,AA44/$H$5*100-100)</f>
        <v>166.24069196769267</v>
      </c>
      <c r="AF44" s="25">
        <f>SUM(AF14,AF21,AF28,AF33,AF38,AF42)</f>
        <v>13239.188604632847</v>
      </c>
      <c r="AG44" s="25"/>
      <c r="AH44" s="25">
        <f>100</f>
        <v>100</v>
      </c>
    </row>
  </sheetData>
  <sheetProtection algorithmName="SHA-512" hashValue="ePEV8kNugqvF19nreXrZEKRcO5W5K4kF/GrYvTxsUliyofxO/1P+XUz/fTiFvQLhj9VvSLeIJAl7Nm4aQPkndQ==" saltValue="gQ4f400RRGKq73WiM9/UvA==" spinCount="100000" sheet="1" objects="1" scenarios="1"/>
  <mergeCells count="42">
    <mergeCell ref="A8:C8"/>
    <mergeCell ref="E8:F8"/>
    <mergeCell ref="I8:J8"/>
    <mergeCell ref="K8:L8"/>
    <mergeCell ref="N8:O8"/>
    <mergeCell ref="P6:Q6"/>
    <mergeCell ref="S6:T6"/>
    <mergeCell ref="A7:C7"/>
    <mergeCell ref="E7:F7"/>
    <mergeCell ref="I7:J7"/>
    <mergeCell ref="K7:L7"/>
    <mergeCell ref="N7:O7"/>
    <mergeCell ref="P7:Q7"/>
    <mergeCell ref="S7:T7"/>
    <mergeCell ref="A6:C6"/>
    <mergeCell ref="E6:F6"/>
    <mergeCell ref="I6:J6"/>
    <mergeCell ref="K6:L6"/>
    <mergeCell ref="N6:O6"/>
    <mergeCell ref="P4:Q4"/>
    <mergeCell ref="S4:T4"/>
    <mergeCell ref="A5:C5"/>
    <mergeCell ref="E5:F5"/>
    <mergeCell ref="I5:J5"/>
    <mergeCell ref="K5:L5"/>
    <mergeCell ref="N5:O5"/>
    <mergeCell ref="P5:Q5"/>
    <mergeCell ref="S5:T5"/>
    <mergeCell ref="A4:C4"/>
    <mergeCell ref="E4:F4"/>
    <mergeCell ref="I4:J4"/>
    <mergeCell ref="K4:L4"/>
    <mergeCell ref="N4:O4"/>
    <mergeCell ref="A1:T1"/>
    <mergeCell ref="A2:AH2"/>
    <mergeCell ref="A3:C3"/>
    <mergeCell ref="E3:F3"/>
    <mergeCell ref="I3:J3"/>
    <mergeCell ref="K3:L3"/>
    <mergeCell ref="N3:O3"/>
    <mergeCell ref="P3:Q3"/>
    <mergeCell ref="S3:T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S65"/>
  <sheetViews>
    <sheetView workbookViewId="0">
      <pane ySplit="10" topLeftCell="A11" activePane="bottomLeft" state="frozen"/>
      <selection pane="bottomLeft" activeCell="G11" sqref="G11:G13"/>
    </sheetView>
  </sheetViews>
  <sheetFormatPr defaultColWidth="8.7109375" defaultRowHeight="15" x14ac:dyDescent="0.25"/>
  <cols>
    <col min="1" max="1" width="6.5703125" style="2" customWidth="1"/>
    <col min="2" max="2" width="14.5703125" style="2" customWidth="1"/>
    <col min="3" max="3" width="28" style="2" customWidth="1"/>
    <col min="4" max="4" width="18" style="2" customWidth="1"/>
    <col min="5" max="5" width="24" style="2" customWidth="1"/>
    <col min="6" max="6" width="16" style="2" customWidth="1"/>
    <col min="7" max="9" width="14" style="2" customWidth="1"/>
    <col min="10" max="10" width="12" style="2" customWidth="1"/>
    <col min="11" max="12" width="14" style="2" customWidth="1"/>
    <col min="13" max="14" width="12" style="2" customWidth="1"/>
    <col min="15" max="15" width="16" style="2" customWidth="1"/>
    <col min="16" max="28" width="14" style="2" customWidth="1"/>
    <col min="29" max="29" width="18" style="2" customWidth="1"/>
    <col min="30" max="30" width="14" style="2" customWidth="1"/>
    <col min="31" max="31" width="3" style="2" customWidth="1"/>
    <col min="32" max="32" width="38" style="2" customWidth="1"/>
    <col min="33" max="33" width="16" style="2" customWidth="1"/>
    <col min="34" max="34" width="14" style="2" customWidth="1"/>
    <col min="35" max="36" width="13" style="2" customWidth="1"/>
    <col min="37" max="37" width="12" style="2" customWidth="1"/>
  </cols>
  <sheetData>
    <row r="1" spans="1:45" ht="15.75" customHeight="1" x14ac:dyDescent="0.2">
      <c r="A1" s="127" t="s">
        <v>104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26"/>
      <c r="AF1" s="26"/>
      <c r="AG1" s="26"/>
      <c r="AH1" s="26"/>
      <c r="AI1" s="27"/>
      <c r="AJ1" s="27"/>
      <c r="AK1" s="27"/>
    </row>
    <row r="2" spans="1:45" ht="19.5" customHeight="1" x14ac:dyDescent="0.2">
      <c r="A2" s="128" t="s">
        <v>105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27"/>
      <c r="AF2" s="27"/>
      <c r="AG2" s="27"/>
      <c r="AH2" s="27"/>
      <c r="AI2" s="27"/>
      <c r="AJ2" s="27"/>
      <c r="AK2" s="27"/>
    </row>
    <row r="3" spans="1:45" ht="31.5" customHeight="1" x14ac:dyDescent="0.25">
      <c r="A3" s="129" t="s">
        <v>2</v>
      </c>
      <c r="B3" s="129"/>
      <c r="C3" s="129"/>
      <c r="D3" s="28" t="s">
        <v>3</v>
      </c>
      <c r="E3" s="130" t="s">
        <v>4</v>
      </c>
      <c r="F3" s="130"/>
      <c r="G3" s="129" t="s">
        <v>2</v>
      </c>
      <c r="H3" s="129"/>
      <c r="I3" s="129"/>
      <c r="J3" s="28" t="s">
        <v>3</v>
      </c>
      <c r="K3" s="130" t="s">
        <v>4</v>
      </c>
      <c r="L3" s="130"/>
      <c r="M3" s="130"/>
      <c r="N3" s="130"/>
      <c r="O3" s="129" t="s">
        <v>2</v>
      </c>
      <c r="P3" s="129"/>
      <c r="Q3" s="129"/>
      <c r="R3" s="28" t="s">
        <v>3</v>
      </c>
      <c r="S3" s="130" t="s">
        <v>4</v>
      </c>
      <c r="T3" s="130"/>
      <c r="U3" s="129" t="s">
        <v>2</v>
      </c>
      <c r="V3" s="129"/>
      <c r="W3" s="129"/>
      <c r="X3" s="28" t="s">
        <v>3</v>
      </c>
      <c r="Y3" s="130" t="s">
        <v>4</v>
      </c>
      <c r="Z3" s="130"/>
      <c r="AA3" s="129" t="s">
        <v>2</v>
      </c>
      <c r="AB3" s="129"/>
      <c r="AC3" s="28" t="s">
        <v>3</v>
      </c>
      <c r="AD3" s="131" t="s">
        <v>4</v>
      </c>
      <c r="AE3" s="131"/>
      <c r="AF3" s="131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</row>
    <row r="4" spans="1:45" ht="31.5" customHeight="1" x14ac:dyDescent="0.25">
      <c r="A4" s="132" t="s">
        <v>24</v>
      </c>
      <c r="B4" s="132"/>
      <c r="C4" s="132"/>
      <c r="D4" s="29">
        <v>2003.0892358809399</v>
      </c>
      <c r="E4" s="133" t="s">
        <v>106</v>
      </c>
      <c r="F4" s="133"/>
      <c r="G4" s="134" t="s">
        <v>107</v>
      </c>
      <c r="H4" s="134"/>
      <c r="I4" s="134"/>
      <c r="J4" s="29">
        <v>25</v>
      </c>
      <c r="K4" s="133" t="s">
        <v>22</v>
      </c>
      <c r="L4" s="133"/>
      <c r="M4" s="133"/>
      <c r="N4" s="133"/>
      <c r="O4" s="134" t="s">
        <v>108</v>
      </c>
      <c r="P4" s="134"/>
      <c r="Q4" s="134"/>
      <c r="R4" s="29">
        <v>25</v>
      </c>
      <c r="S4" s="133" t="s">
        <v>109</v>
      </c>
      <c r="T4" s="133"/>
      <c r="U4" s="134" t="s">
        <v>110</v>
      </c>
      <c r="V4" s="134"/>
      <c r="W4" s="134"/>
      <c r="X4" s="29">
        <v>1.5</v>
      </c>
      <c r="Y4" s="133" t="s">
        <v>109</v>
      </c>
      <c r="Z4" s="133"/>
      <c r="AA4" s="132" t="s">
        <v>17</v>
      </c>
      <c r="AB4" s="132"/>
      <c r="AC4" s="29">
        <f>'Модель 1-1'!$M$5</f>
        <v>1</v>
      </c>
      <c r="AD4" s="135" t="s">
        <v>111</v>
      </c>
      <c r="AE4" s="135"/>
      <c r="AF4" s="135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</row>
    <row r="5" spans="1:45" ht="31.5" customHeight="1" x14ac:dyDescent="0.25">
      <c r="A5" s="132" t="s">
        <v>112</v>
      </c>
      <c r="B5" s="132"/>
      <c r="C5" s="132"/>
      <c r="D5" s="29">
        <v>21.828816533088698</v>
      </c>
      <c r="E5" s="133" t="s">
        <v>113</v>
      </c>
      <c r="F5" s="133"/>
      <c r="G5" s="134" t="s">
        <v>114</v>
      </c>
      <c r="H5" s="134"/>
      <c r="I5" s="134"/>
      <c r="J5" s="29">
        <v>75</v>
      </c>
      <c r="K5" s="133" t="s">
        <v>22</v>
      </c>
      <c r="L5" s="133"/>
      <c r="M5" s="133"/>
      <c r="N5" s="133"/>
      <c r="O5" s="134" t="s">
        <v>115</v>
      </c>
      <c r="P5" s="134"/>
      <c r="Q5" s="134"/>
      <c r="R5" s="29">
        <v>0</v>
      </c>
      <c r="S5" s="133" t="s">
        <v>109</v>
      </c>
      <c r="T5" s="133"/>
      <c r="U5" s="134" t="s">
        <v>116</v>
      </c>
      <c r="V5" s="134"/>
      <c r="W5" s="134"/>
      <c r="X5" s="29">
        <v>4</v>
      </c>
      <c r="Y5" s="133" t="s">
        <v>109</v>
      </c>
      <c r="Z5" s="133"/>
      <c r="AA5" s="132" t="s">
        <v>23</v>
      </c>
      <c r="AB5" s="132"/>
      <c r="AC5" s="29">
        <f>'Модель 1-1'!$M$6</f>
        <v>25</v>
      </c>
      <c r="AD5" s="135" t="s">
        <v>111</v>
      </c>
      <c r="AE5" s="135"/>
      <c r="AF5" s="135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</row>
    <row r="6" spans="1:45" ht="31.5" customHeight="1" x14ac:dyDescent="0.25">
      <c r="A6" s="132" t="s">
        <v>34</v>
      </c>
      <c r="B6" s="132"/>
      <c r="C6" s="132"/>
      <c r="D6" s="29">
        <v>1238.78107751432</v>
      </c>
      <c r="E6" s="133" t="s">
        <v>117</v>
      </c>
      <c r="F6" s="133"/>
      <c r="G6" s="134" t="s">
        <v>118</v>
      </c>
      <c r="H6" s="134"/>
      <c r="I6" s="134"/>
      <c r="J6" s="29">
        <v>75</v>
      </c>
      <c r="K6" s="133" t="s">
        <v>119</v>
      </c>
      <c r="L6" s="133"/>
      <c r="M6" s="133"/>
      <c r="N6" s="133"/>
      <c r="O6" s="134" t="s">
        <v>120</v>
      </c>
      <c r="P6" s="134"/>
      <c r="Q6" s="134"/>
      <c r="R6" s="29">
        <v>3.5</v>
      </c>
      <c r="S6" s="133" t="s">
        <v>109</v>
      </c>
      <c r="T6" s="133"/>
      <c r="U6" s="134" t="s">
        <v>28</v>
      </c>
      <c r="V6" s="134"/>
      <c r="W6" s="134"/>
      <c r="X6" s="29">
        <f>'Модель 1-1'!$H$7</f>
        <v>1</v>
      </c>
      <c r="Y6" s="133" t="s">
        <v>111</v>
      </c>
      <c r="Z6" s="133"/>
      <c r="AA6" s="132" t="s">
        <v>121</v>
      </c>
      <c r="AB6" s="132"/>
      <c r="AC6" s="29">
        <f>'Модель 1-1'!$Z$44</f>
        <v>516.70000000002824</v>
      </c>
      <c r="AD6" s="135" t="s">
        <v>122</v>
      </c>
      <c r="AE6" s="135"/>
      <c r="AF6" s="135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</row>
    <row r="7" spans="1:45" ht="31.5" customHeight="1" x14ac:dyDescent="0.25">
      <c r="A7" s="132" t="s">
        <v>7</v>
      </c>
      <c r="B7" s="132"/>
      <c r="C7" s="132"/>
      <c r="D7" s="29">
        <v>675.69876955326504</v>
      </c>
      <c r="E7" s="133" t="s">
        <v>123</v>
      </c>
      <c r="F7" s="133"/>
      <c r="G7" s="134" t="s">
        <v>124</v>
      </c>
      <c r="H7" s="134"/>
      <c r="I7" s="134"/>
      <c r="J7" s="29">
        <v>25</v>
      </c>
      <c r="K7" s="133" t="s">
        <v>119</v>
      </c>
      <c r="L7" s="133"/>
      <c r="M7" s="133"/>
      <c r="N7" s="133"/>
      <c r="O7" s="134" t="s">
        <v>125</v>
      </c>
      <c r="P7" s="134"/>
      <c r="Q7" s="134"/>
      <c r="R7" s="29">
        <v>2.5</v>
      </c>
      <c r="S7" s="133" t="s">
        <v>109</v>
      </c>
      <c r="T7" s="133"/>
      <c r="U7" s="134" t="s">
        <v>36</v>
      </c>
      <c r="V7" s="134"/>
      <c r="W7" s="134"/>
      <c r="X7" s="30">
        <f>'Модель 1-1'!$H$8</f>
        <v>11.3104239756686</v>
      </c>
      <c r="Y7" s="133" t="s">
        <v>111</v>
      </c>
      <c r="Z7" s="133"/>
      <c r="AA7" s="132" t="s">
        <v>126</v>
      </c>
      <c r="AB7" s="132"/>
      <c r="AC7" s="29">
        <f>W41</f>
        <v>439.55668089151692</v>
      </c>
      <c r="AD7" s="135" t="s">
        <v>127</v>
      </c>
      <c r="AE7" s="135"/>
      <c r="AF7" s="135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</row>
    <row r="8" spans="1:45" ht="31.5" customHeight="1" x14ac:dyDescent="0.25">
      <c r="A8" s="136" t="s">
        <v>15</v>
      </c>
      <c r="B8" s="136"/>
      <c r="C8" s="136"/>
      <c r="D8" s="31">
        <f>D6+D7</f>
        <v>1914.4798470675851</v>
      </c>
      <c r="E8" s="137" t="s">
        <v>16</v>
      </c>
      <c r="F8" s="137"/>
      <c r="G8" s="138" t="s">
        <v>128</v>
      </c>
      <c r="H8" s="138"/>
      <c r="I8" s="138"/>
      <c r="J8" s="31">
        <f>J4+J5</f>
        <v>100</v>
      </c>
      <c r="K8" s="137" t="s">
        <v>129</v>
      </c>
      <c r="L8" s="137"/>
      <c r="M8" s="137"/>
      <c r="N8" s="137"/>
      <c r="O8" s="138" t="s">
        <v>130</v>
      </c>
      <c r="P8" s="138"/>
      <c r="Q8" s="138"/>
      <c r="R8" s="31">
        <v>4.5</v>
      </c>
      <c r="S8" s="137" t="s">
        <v>109</v>
      </c>
      <c r="T8" s="137"/>
      <c r="U8" s="138" t="s">
        <v>9</v>
      </c>
      <c r="V8" s="138"/>
      <c r="W8" s="138"/>
      <c r="X8" s="31">
        <f>'Модель 1-1'!$M$4</f>
        <v>1</v>
      </c>
      <c r="Y8" s="137" t="s">
        <v>111</v>
      </c>
      <c r="Z8" s="137"/>
      <c r="AA8" s="136" t="s">
        <v>131</v>
      </c>
      <c r="AB8" s="136"/>
      <c r="AC8" s="31" t="str">
        <f>IF(ABS(W41-AC7)&lt;0.01,"OK","Перевірити")</f>
        <v>OK</v>
      </c>
      <c r="AD8" s="139" t="s">
        <v>132</v>
      </c>
      <c r="AE8" s="139"/>
      <c r="AF8" s="139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</row>
    <row r="9" spans="1:45" ht="11.25" customHeight="1" x14ac:dyDescent="0.2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</row>
    <row r="10" spans="1:45" ht="31.5" customHeight="1" x14ac:dyDescent="0.2">
      <c r="A10" s="32" t="s">
        <v>40</v>
      </c>
      <c r="B10" s="32" t="s">
        <v>41</v>
      </c>
      <c r="C10" s="33" t="s">
        <v>42</v>
      </c>
      <c r="D10" s="33" t="s">
        <v>133</v>
      </c>
      <c r="E10" s="33" t="s">
        <v>134</v>
      </c>
      <c r="F10" s="33" t="s">
        <v>44</v>
      </c>
      <c r="G10" s="32" t="s">
        <v>135</v>
      </c>
      <c r="H10" s="32" t="s">
        <v>136</v>
      </c>
      <c r="I10" s="32" t="s">
        <v>137</v>
      </c>
      <c r="J10" s="32" t="s">
        <v>138</v>
      </c>
      <c r="K10" s="32" t="s">
        <v>53</v>
      </c>
      <c r="L10" s="32" t="s">
        <v>139</v>
      </c>
      <c r="M10" s="32" t="s">
        <v>54</v>
      </c>
      <c r="N10" s="32" t="s">
        <v>55</v>
      </c>
      <c r="O10" s="32" t="s">
        <v>140</v>
      </c>
      <c r="P10" s="32" t="s">
        <v>141</v>
      </c>
      <c r="Q10" s="32" t="s">
        <v>142</v>
      </c>
      <c r="R10" s="32" t="s">
        <v>143</v>
      </c>
      <c r="S10" s="32" t="s">
        <v>144</v>
      </c>
      <c r="T10" s="32" t="s">
        <v>145</v>
      </c>
      <c r="U10" s="32" t="s">
        <v>146</v>
      </c>
      <c r="V10" s="32" t="s">
        <v>63</v>
      </c>
      <c r="W10" s="32" t="s">
        <v>64</v>
      </c>
      <c r="X10" s="32" t="s">
        <v>65</v>
      </c>
      <c r="Y10" s="32" t="s">
        <v>147</v>
      </c>
      <c r="Z10" s="32" t="s">
        <v>69</v>
      </c>
      <c r="AA10" s="32" t="s">
        <v>68</v>
      </c>
      <c r="AB10" s="32" t="s">
        <v>70</v>
      </c>
      <c r="AC10" s="33" t="s">
        <v>71</v>
      </c>
      <c r="AD10" s="32" t="s">
        <v>72</v>
      </c>
      <c r="AE10" s="34"/>
      <c r="AF10" s="34"/>
      <c r="AG10" s="34"/>
      <c r="AH10" s="34"/>
      <c r="AI10" s="27"/>
      <c r="AJ10" s="27"/>
      <c r="AK10" s="27"/>
    </row>
    <row r="11" spans="1:45" ht="21.75" customHeight="1" x14ac:dyDescent="0.2">
      <c r="A11" s="35">
        <v>1</v>
      </c>
      <c r="B11" s="36">
        <v>16.176470588235301</v>
      </c>
      <c r="C11" s="37" t="s">
        <v>148</v>
      </c>
      <c r="D11" s="37" t="s">
        <v>149</v>
      </c>
      <c r="E11" s="37" t="s">
        <v>150</v>
      </c>
      <c r="F11" s="37" t="s">
        <v>75</v>
      </c>
      <c r="G11" s="38">
        <f>$D$6*$J$4/100</f>
        <v>309.69526937858001</v>
      </c>
      <c r="H11" s="38">
        <f>IF(D11="Імпорт товарів кінцевого споживання",G11*$R$4/100,0)</f>
        <v>77.423817344645002</v>
      </c>
      <c r="I11" s="38">
        <f>IF(D11="Імпорт сировини й напівфабрикатів",G11*$R$5/100,0)</f>
        <v>0</v>
      </c>
      <c r="J11" s="39">
        <f>$D$5</f>
        <v>21.828816533088698</v>
      </c>
      <c r="K11" s="38">
        <f>G11*J11/100</f>
        <v>67.60281216430505</v>
      </c>
      <c r="L11" s="38">
        <f>G11+H11+I11+K11</f>
        <v>454.72189888753007</v>
      </c>
      <c r="M11" s="39">
        <f>$X$6</f>
        <v>1</v>
      </c>
      <c r="N11" s="38">
        <f>L11*M11/100</f>
        <v>4.5472189888753007</v>
      </c>
      <c r="O11" s="38">
        <f>L11+N11</f>
        <v>459.2691178764054</v>
      </c>
      <c r="P11" s="38">
        <f>IF(OR(E11="Оптова торгівля",E11="Імпорт + оптовий продаж"),O11*$R$6/100,0)</f>
        <v>16.07441912567419</v>
      </c>
      <c r="Q11" s="38">
        <f>IF(E11="Виробництво",O11*$R$7/100,0)</f>
        <v>0</v>
      </c>
      <c r="R11" s="38">
        <f>IF(E11="Роздрібна торгівля",O11*$R$8/100,0)</f>
        <v>0</v>
      </c>
      <c r="S11" s="38">
        <f>IF(E11="Експорт товарів і напівфабрикатів",O11*$X$4/100,0)</f>
        <v>0</v>
      </c>
      <c r="T11" s="38">
        <f>IF(E11="Експорт сировини",O11*$X$5/100,0)</f>
        <v>0</v>
      </c>
      <c r="U11" s="38">
        <f>O11+P11+Q11+R11+S11+T11</f>
        <v>475.34353700207959</v>
      </c>
      <c r="V11" s="38">
        <f>N11</f>
        <v>4.5472189888753007</v>
      </c>
      <c r="W11" s="38">
        <f>H11+I11+P11+Q11+R11+S11+T11</f>
        <v>93.498236470319199</v>
      </c>
      <c r="X11" s="38">
        <f>IF(OR(F11="Кінцеве споживання",F11="Експорт"),U11,0)</f>
        <v>0</v>
      </c>
      <c r="Y11" s="38">
        <f>IF(F11="Перехід",U11,0)</f>
        <v>475.34353700207959</v>
      </c>
      <c r="Z11" s="39">
        <f>IF($D$8=0,0,SUM($X$11:X11)/$D$8*100-100)</f>
        <v>-100</v>
      </c>
      <c r="AA11" s="39"/>
      <c r="AB11" s="38">
        <f>U11</f>
        <v>475.34353700207959</v>
      </c>
      <c r="AC11" s="37" t="s">
        <v>77</v>
      </c>
      <c r="AD11" s="39">
        <f>IF($AB$41=0,0,AB11/$AB$41*100)</f>
        <v>3.8797799888984428</v>
      </c>
      <c r="AE11" s="40"/>
      <c r="AF11" s="40"/>
      <c r="AG11" s="40"/>
      <c r="AH11" s="40"/>
      <c r="AI11" s="27"/>
      <c r="AJ11" s="27"/>
      <c r="AK11" s="27"/>
    </row>
    <row r="12" spans="1:45" ht="21.75" customHeight="1" x14ac:dyDescent="0.2">
      <c r="A12" s="35">
        <v>1</v>
      </c>
      <c r="B12" s="36">
        <v>48.529411764705898</v>
      </c>
      <c r="C12" s="37" t="s">
        <v>78</v>
      </c>
      <c r="D12" s="37" t="s">
        <v>151</v>
      </c>
      <c r="E12" s="37" t="s">
        <v>150</v>
      </c>
      <c r="F12" s="37" t="s">
        <v>75</v>
      </c>
      <c r="G12" s="38">
        <f>$D$6*$J$5/100</f>
        <v>929.08580813574008</v>
      </c>
      <c r="H12" s="38">
        <f>IF(D12="Імпорт товарів кінцевого споживання",G12*$R$4/100,0)</f>
        <v>0</v>
      </c>
      <c r="I12" s="38">
        <f>IF(D12="Імпорт сировини й напівфабрикатів",G12*$R$5/100,0)</f>
        <v>0</v>
      </c>
      <c r="J12" s="39">
        <f>$D$5</f>
        <v>21.828816533088698</v>
      </c>
      <c r="K12" s="38">
        <f>G12*J12/100</f>
        <v>202.80843649291518</v>
      </c>
      <c r="L12" s="38">
        <f>G12+H12+I12+K12</f>
        <v>1131.8942446286553</v>
      </c>
      <c r="M12" s="39">
        <f>$X$6</f>
        <v>1</v>
      </c>
      <c r="N12" s="38">
        <f>L12*M12/100</f>
        <v>11.318942446286552</v>
      </c>
      <c r="O12" s="38">
        <f>L12+N12</f>
        <v>1143.213187074942</v>
      </c>
      <c r="P12" s="38">
        <f>IF(OR(E12="Оптова торгівля",E12="Імпорт + оптовий продаж"),O12*$R$6/100,0)</f>
        <v>40.012461547622969</v>
      </c>
      <c r="Q12" s="38">
        <f>IF(E12="Виробництво",O12*$R$7/100,0)</f>
        <v>0</v>
      </c>
      <c r="R12" s="38">
        <f>IF(E12="Роздрібна торгівля",O12*$R$8/100,0)</f>
        <v>0</v>
      </c>
      <c r="S12" s="38">
        <f>IF(E12="Експорт товарів і напівфабрикатів",O12*$X$4/100,0)</f>
        <v>0</v>
      </c>
      <c r="T12" s="38">
        <f>IF(E12="Експорт сировини",O12*$X$5/100,0)</f>
        <v>0</v>
      </c>
      <c r="U12" s="38">
        <f>O12+P12+Q12+R12+S12+T12</f>
        <v>1183.2256486225649</v>
      </c>
      <c r="V12" s="38">
        <f>N12</f>
        <v>11.318942446286552</v>
      </c>
      <c r="W12" s="38">
        <f>H12+I12+P12+Q12+R12+S12+T12</f>
        <v>40.012461547622969</v>
      </c>
      <c r="X12" s="38">
        <f>IF(OR(F12="Кінцеве споживання",F12="Експорт"),U12,0)</f>
        <v>0</v>
      </c>
      <c r="Y12" s="38">
        <f>IF(F12="Перехід",U12,0)</f>
        <v>1183.2256486225649</v>
      </c>
      <c r="Z12" s="39">
        <f>IF($D$8=0,0,SUM($X$11:X12)/$D$8*100-100)</f>
        <v>-100</v>
      </c>
      <c r="AA12" s="39"/>
      <c r="AB12" s="38">
        <f>U12</f>
        <v>1183.2256486225649</v>
      </c>
      <c r="AC12" s="37" t="s">
        <v>77</v>
      </c>
      <c r="AD12" s="39">
        <f>IF($AB$41=0,0,AB12/$AB$41*100)</f>
        <v>9.6575525625735494</v>
      </c>
      <c r="AE12" s="40"/>
      <c r="AF12" s="40"/>
      <c r="AG12" s="40"/>
      <c r="AH12" s="40"/>
      <c r="AI12" s="27"/>
      <c r="AJ12" s="27"/>
      <c r="AK12" s="27"/>
    </row>
    <row r="13" spans="1:45" ht="21.75" customHeight="1" x14ac:dyDescent="0.2">
      <c r="A13" s="35">
        <v>1</v>
      </c>
      <c r="B13" s="36">
        <v>35.294117647058798</v>
      </c>
      <c r="C13" s="37" t="s">
        <v>152</v>
      </c>
      <c r="D13" s="37" t="s">
        <v>153</v>
      </c>
      <c r="E13" s="37" t="s">
        <v>83</v>
      </c>
      <c r="F13" s="37" t="s">
        <v>75</v>
      </c>
      <c r="G13" s="38">
        <f>$D$7</f>
        <v>675.69876955326504</v>
      </c>
      <c r="H13" s="38">
        <f>IF(D13="Імпорт товарів кінцевого споживання",G13*$R$4/100,0)</f>
        <v>0</v>
      </c>
      <c r="I13" s="38">
        <f>IF(D13="Імпорт сировини й напівфабрикатів",G13*$R$5/100,0)</f>
        <v>0</v>
      </c>
      <c r="J13" s="39">
        <f>$D$5</f>
        <v>21.828816533088698</v>
      </c>
      <c r="K13" s="38">
        <f>G13*J13/100</f>
        <v>147.49704472212002</v>
      </c>
      <c r="L13" s="38">
        <f>G13+H13+I13+K13</f>
        <v>823.19581427538503</v>
      </c>
      <c r="M13" s="39">
        <f>$X$8</f>
        <v>1</v>
      </c>
      <c r="N13" s="38">
        <f>L13*M13/100</f>
        <v>8.2319581427538502</v>
      </c>
      <c r="O13" s="38">
        <f>L13+N13</f>
        <v>831.42777241813883</v>
      </c>
      <c r="P13" s="38">
        <f>IF(OR(E13="Оптова торгівля",E13="Імпорт + оптовий продаж"),O13*$R$6/100,0)</f>
        <v>0</v>
      </c>
      <c r="Q13" s="38">
        <f>IF(E13="Виробництво",O13*$R$7/100,0)</f>
        <v>20.785694310453472</v>
      </c>
      <c r="R13" s="38">
        <f>IF(E13="Роздрібна торгівля",O13*$R$8/100,0)</f>
        <v>0</v>
      </c>
      <c r="S13" s="38">
        <f>IF(E13="Експорт товарів і напівфабрикатів",O13*$X$4/100,0)</f>
        <v>0</v>
      </c>
      <c r="T13" s="38">
        <f>IF(E13="Експорт сировини",O13*$X$5/100,0)</f>
        <v>0</v>
      </c>
      <c r="U13" s="38">
        <f>O13+P13+Q13+R13+S13+T13</f>
        <v>852.21346672859227</v>
      </c>
      <c r="V13" s="38">
        <f>N13</f>
        <v>8.2319581427538502</v>
      </c>
      <c r="W13" s="38">
        <f>H13+I13+P13+Q13+R13+S13+T13</f>
        <v>20.785694310453472</v>
      </c>
      <c r="X13" s="38">
        <f>IF(OR(F13="Кінцеве споживання",F13="Експорт"),U13,0)</f>
        <v>0</v>
      </c>
      <c r="Y13" s="38">
        <f>IF(F13="Перехід",U13,0)</f>
        <v>852.21346672859227</v>
      </c>
      <c r="Z13" s="39">
        <f>IF($D$8=0,0,SUM($X$11:X13)/$D$8*100-100)</f>
        <v>-100</v>
      </c>
      <c r="AA13" s="39"/>
      <c r="AB13" s="38">
        <f>U13</f>
        <v>852.21346672859227</v>
      </c>
      <c r="AC13" s="37" t="s">
        <v>83</v>
      </c>
      <c r="AD13" s="39">
        <f>IF($AB$41=0,0,AB13/$AB$41*100)</f>
        <v>6.9558130007117276</v>
      </c>
      <c r="AE13" s="40"/>
      <c r="AF13" s="40"/>
      <c r="AG13" s="40"/>
      <c r="AH13" s="40"/>
      <c r="AI13" s="27"/>
      <c r="AJ13" s="27"/>
      <c r="AK13" s="27"/>
    </row>
    <row r="14" spans="1:45" ht="21.75" customHeight="1" x14ac:dyDescent="0.2">
      <c r="A14" s="41">
        <v>1</v>
      </c>
      <c r="B14" s="42">
        <f>SUM(B11:B13)</f>
        <v>100</v>
      </c>
      <c r="C14" s="43" t="s">
        <v>84</v>
      </c>
      <c r="D14" s="43" t="s">
        <v>85</v>
      </c>
      <c r="E14" s="43" t="s">
        <v>85</v>
      </c>
      <c r="F14" s="43" t="s">
        <v>85</v>
      </c>
      <c r="G14" s="44">
        <f>SUM(G11:G13)</f>
        <v>1914.4798470675851</v>
      </c>
      <c r="H14" s="44">
        <f>SUM(H11:H13)</f>
        <v>77.423817344645002</v>
      </c>
      <c r="I14" s="44">
        <f>SUM(I11:I13)</f>
        <v>0</v>
      </c>
      <c r="J14" s="42"/>
      <c r="K14" s="44">
        <f>SUM(K11:K13)</f>
        <v>417.90829337934019</v>
      </c>
      <c r="L14" s="44">
        <f>SUM(L11:L13)</f>
        <v>2409.8119577915704</v>
      </c>
      <c r="M14" s="42"/>
      <c r="N14" s="44">
        <f t="shared" ref="N14:Y14" si="0">SUM(N11:N13)</f>
        <v>24.098119577915703</v>
      </c>
      <c r="O14" s="44">
        <f t="shared" si="0"/>
        <v>2433.9100773694863</v>
      </c>
      <c r="P14" s="44">
        <f t="shared" si="0"/>
        <v>56.086880673297159</v>
      </c>
      <c r="Q14" s="44">
        <f t="shared" si="0"/>
        <v>20.785694310453472</v>
      </c>
      <c r="R14" s="44">
        <f t="shared" si="0"/>
        <v>0</v>
      </c>
      <c r="S14" s="44">
        <f t="shared" si="0"/>
        <v>0</v>
      </c>
      <c r="T14" s="44">
        <f t="shared" si="0"/>
        <v>0</v>
      </c>
      <c r="U14" s="44">
        <f t="shared" si="0"/>
        <v>2510.7826523532367</v>
      </c>
      <c r="V14" s="44">
        <f t="shared" si="0"/>
        <v>24.098119577915703</v>
      </c>
      <c r="W14" s="44">
        <f t="shared" si="0"/>
        <v>154.29639232839563</v>
      </c>
      <c r="X14" s="44">
        <f t="shared" si="0"/>
        <v>0</v>
      </c>
      <c r="Y14" s="44">
        <f t="shared" si="0"/>
        <v>2510.7826523532367</v>
      </c>
      <c r="Z14" s="42">
        <f>IF($D$8=0,0,SUM($X$11:X13)/$D$8*100-100)</f>
        <v>-100</v>
      </c>
      <c r="AA14" s="42" t="str">
        <f>IF(ABS(SUM(B11:B13)-100)&lt;0.01,"ОК","ПОМИЛКА")</f>
        <v>ОК</v>
      </c>
      <c r="AB14" s="44">
        <f>SUM(AB11:AB13)</f>
        <v>2510.7826523532367</v>
      </c>
      <c r="AC14" s="43"/>
      <c r="AD14" s="42"/>
      <c r="AE14" s="40"/>
      <c r="AF14" s="40"/>
      <c r="AG14" s="40"/>
      <c r="AH14" s="40"/>
      <c r="AI14" s="27"/>
      <c r="AJ14" s="27"/>
      <c r="AK14" s="27"/>
    </row>
    <row r="15" spans="1:45" ht="21.75" customHeight="1" x14ac:dyDescent="0.2">
      <c r="A15" s="35"/>
      <c r="B15" s="39"/>
      <c r="C15" s="37"/>
      <c r="D15" s="37"/>
      <c r="E15" s="37"/>
      <c r="F15" s="37"/>
      <c r="G15" s="38"/>
      <c r="H15" s="38"/>
      <c r="I15" s="38"/>
      <c r="J15" s="39"/>
      <c r="K15" s="38"/>
      <c r="L15" s="38"/>
      <c r="M15" s="39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9"/>
      <c r="AA15" s="39"/>
      <c r="AB15" s="38"/>
      <c r="AC15" s="37"/>
      <c r="AD15" s="39"/>
      <c r="AE15" s="40"/>
      <c r="AF15" s="40"/>
      <c r="AG15" s="40"/>
      <c r="AH15" s="40"/>
      <c r="AI15" s="27"/>
      <c r="AJ15" s="27"/>
      <c r="AK15" s="27"/>
    </row>
    <row r="16" spans="1:45" ht="21.75" customHeight="1" x14ac:dyDescent="0.2">
      <c r="A16" s="35">
        <v>2</v>
      </c>
      <c r="B16" s="36">
        <v>3.72862716414968</v>
      </c>
      <c r="C16" s="37" t="s">
        <v>154</v>
      </c>
      <c r="D16" s="37" t="s">
        <v>153</v>
      </c>
      <c r="E16" s="37" t="s">
        <v>155</v>
      </c>
      <c r="F16" s="37" t="s">
        <v>87</v>
      </c>
      <c r="G16" s="38">
        <f>$Y$14*B16/100</f>
        <v>93.6177240084006</v>
      </c>
      <c r="H16" s="38">
        <f>IF(D16="Імпорт товарів кінцевого споживання",G16*$R$4/100,0)</f>
        <v>0</v>
      </c>
      <c r="I16" s="38">
        <f>IF(D16="Імпорт сировини й напівфабрикатів",G16*$R$5/100,0)</f>
        <v>0</v>
      </c>
      <c r="J16" s="39">
        <f>$D$5</f>
        <v>21.828816533088698</v>
      </c>
      <c r="K16" s="38">
        <f>G16*J16/100</f>
        <v>20.435641216247099</v>
      </c>
      <c r="L16" s="38">
        <f>G16+H16+I16+K16</f>
        <v>114.05336522464771</v>
      </c>
      <c r="M16" s="39">
        <f>$AC$4</f>
        <v>1</v>
      </c>
      <c r="N16" s="38">
        <f>L16*M16/100</f>
        <v>1.1405336522464771</v>
      </c>
      <c r="O16" s="38">
        <f>L16+N16</f>
        <v>115.19389887689418</v>
      </c>
      <c r="P16" s="38">
        <f>IF(OR(E16="Оптова торгівля",E16="Імпорт + оптовий продаж"),O16*$R$6/100,0)</f>
        <v>0</v>
      </c>
      <c r="Q16" s="38">
        <f>IF(E16="Виробництво",O16*$R$7/100,0)</f>
        <v>0</v>
      </c>
      <c r="R16" s="38">
        <f>IF(E16="Роздрібна торгівля",O16*$R$8/100,0)</f>
        <v>0</v>
      </c>
      <c r="S16" s="38">
        <f>IF(E16="Експорт товарів і напівфабрикатів",O16*$X$4/100,0)</f>
        <v>1.7279084831534126</v>
      </c>
      <c r="T16" s="38">
        <f>IF(E16="Експорт сировини",O16*$X$5/100,0)</f>
        <v>0</v>
      </c>
      <c r="U16" s="38">
        <f>O16+P16+Q16+R16+S16+T16</f>
        <v>116.92180736004759</v>
      </c>
      <c r="V16" s="38">
        <f>N16</f>
        <v>1.1405336522464771</v>
      </c>
      <c r="W16" s="38">
        <f>H16+I16+P16+Q16+R16+S16+T16</f>
        <v>1.7279084831534126</v>
      </c>
      <c r="X16" s="38">
        <f>IF(OR(F16="Кінцеве споживання",F16="Експорт"),U16,0)</f>
        <v>116.92180736004759</v>
      </c>
      <c r="Y16" s="38">
        <f>IF(F16="Перехід",U16,0)</f>
        <v>0</v>
      </c>
      <c r="Z16" s="39">
        <f>IF($D$8=0,0,SUM($X$11:X13,$X$16:X16)/$D$8*100-100)</f>
        <v>-93.892763742635523</v>
      </c>
      <c r="AA16" s="39"/>
      <c r="AB16" s="38">
        <f>U16</f>
        <v>116.92180736004759</v>
      </c>
      <c r="AC16" s="37" t="s">
        <v>87</v>
      </c>
      <c r="AD16" s="39">
        <f>IF($AB$41=0,0,AB16/$AB$41*100)</f>
        <v>0.95432219678915453</v>
      </c>
      <c r="AE16" s="40"/>
      <c r="AF16" s="40"/>
      <c r="AG16" s="40"/>
      <c r="AH16" s="40"/>
      <c r="AI16" s="27"/>
      <c r="AJ16" s="27"/>
      <c r="AK16" s="27"/>
    </row>
    <row r="17" spans="1:37" ht="21.75" customHeight="1" x14ac:dyDescent="0.2">
      <c r="A17" s="35">
        <v>2</v>
      </c>
      <c r="B17" s="36">
        <v>1.24287572138323</v>
      </c>
      <c r="C17" s="37" t="s">
        <v>156</v>
      </c>
      <c r="D17" s="37" t="s">
        <v>153</v>
      </c>
      <c r="E17" s="37" t="s">
        <v>157</v>
      </c>
      <c r="F17" s="37" t="s">
        <v>87</v>
      </c>
      <c r="G17" s="38">
        <f>$Y$14*B17/100</f>
        <v>31.205908002800289</v>
      </c>
      <c r="H17" s="38">
        <f>IF(D17="Імпорт товарів кінцевого споживання",G17*$R$4/100,0)</f>
        <v>0</v>
      </c>
      <c r="I17" s="38">
        <f>IF(D17="Імпорт сировини й напівфабрикатів",G17*$R$5/100,0)</f>
        <v>0</v>
      </c>
      <c r="J17" s="39">
        <f>$D$5</f>
        <v>21.828816533088698</v>
      </c>
      <c r="K17" s="38">
        <f>G17*J17/100</f>
        <v>6.8118804054157192</v>
      </c>
      <c r="L17" s="38">
        <f>G17+H17+I17+K17</f>
        <v>38.017788408216006</v>
      </c>
      <c r="M17" s="39">
        <f>$AC$4</f>
        <v>1</v>
      </c>
      <c r="N17" s="38">
        <f>L17*M17/100</f>
        <v>0.38017788408216008</v>
      </c>
      <c r="O17" s="38">
        <f>L17+N17</f>
        <v>38.397966292298165</v>
      </c>
      <c r="P17" s="38">
        <f>IF(OR(E17="Оптова торгівля",E17="Імпорт + оптовий продаж"),O17*$R$6/100,0)</f>
        <v>0</v>
      </c>
      <c r="Q17" s="38">
        <f>IF(E17="Виробництво",O17*$R$7/100,0)</f>
        <v>0</v>
      </c>
      <c r="R17" s="38">
        <f>IF(E17="Роздрібна торгівля",O17*$R$8/100,0)</f>
        <v>0</v>
      </c>
      <c r="S17" s="38">
        <f>IF(E17="Експорт товарів і напівфабрикатів",O17*$X$4/100,0)</f>
        <v>0</v>
      </c>
      <c r="T17" s="38">
        <f>IF(E17="Експорт сировини",O17*$X$5/100,0)</f>
        <v>1.5359186516919265</v>
      </c>
      <c r="U17" s="38">
        <f>O17+P17+Q17+R17+S17+T17</f>
        <v>39.933884943990094</v>
      </c>
      <c r="V17" s="38">
        <f>N17</f>
        <v>0.38017788408216008</v>
      </c>
      <c r="W17" s="38">
        <f>H17+I17+P17+Q17+R17+S17+T17</f>
        <v>1.5359186516919265</v>
      </c>
      <c r="X17" s="38">
        <f>IF(OR(F17="Кінцеве споживання",F17="Експорт"),U17,0)</f>
        <v>39.933884943990094</v>
      </c>
      <c r="Y17" s="38">
        <f>IF(F17="Перехід",U17,0)</f>
        <v>0</v>
      </c>
      <c r="Z17" s="39">
        <f>IF($D$8=0,0,SUM($X$11:X13,$X$16:X17)/$D$8*100-100)</f>
        <v>-91.806876810727772</v>
      </c>
      <c r="AA17" s="39"/>
      <c r="AB17" s="38">
        <f>U17</f>
        <v>39.933884943990094</v>
      </c>
      <c r="AC17" s="37" t="s">
        <v>87</v>
      </c>
      <c r="AD17" s="39">
        <f>IF($AB$41=0,0,AB17/$AB$41*100)</f>
        <v>0.32594255653882548</v>
      </c>
      <c r="AE17" s="40"/>
      <c r="AF17" s="40"/>
      <c r="AG17" s="40"/>
      <c r="AH17" s="40"/>
      <c r="AI17" s="27"/>
      <c r="AJ17" s="27"/>
      <c r="AK17" s="27"/>
    </row>
    <row r="18" spans="1:37" ht="21.75" customHeight="1" x14ac:dyDescent="0.2">
      <c r="A18" s="35">
        <v>2</v>
      </c>
      <c r="B18" s="36">
        <v>3.3369086120184299</v>
      </c>
      <c r="C18" s="37" t="s">
        <v>158</v>
      </c>
      <c r="D18" s="37" t="s">
        <v>153</v>
      </c>
      <c r="E18" s="37" t="s">
        <v>83</v>
      </c>
      <c r="F18" s="37" t="s">
        <v>90</v>
      </c>
      <c r="G18" s="38">
        <f>$Y$14*B18/100</f>
        <v>83.782522555439925</v>
      </c>
      <c r="H18" s="38">
        <f>IF(D18="Імпорт товарів кінцевого споживання",G18*$R$4/100,0)</f>
        <v>0</v>
      </c>
      <c r="I18" s="38">
        <f>IF(D18="Імпорт сировини й напівфабрикатів",G18*$R$5/100,0)</f>
        <v>0</v>
      </c>
      <c r="J18" s="39">
        <f>$D$5</f>
        <v>21.828816533088698</v>
      </c>
      <c r="K18" s="38">
        <f>G18*J18/100</f>
        <v>18.288733135420639</v>
      </c>
      <c r="L18" s="38">
        <f>G18+H18+I18+K18</f>
        <v>102.07125569086057</v>
      </c>
      <c r="M18" s="39">
        <f>$X$8</f>
        <v>1</v>
      </c>
      <c r="N18" s="38">
        <f>L18*M18/100</f>
        <v>1.0207125569086057</v>
      </c>
      <c r="O18" s="38">
        <f>L18+N18</f>
        <v>103.09196824776917</v>
      </c>
      <c r="P18" s="38">
        <f>IF(OR(E18="Оптова торгівля",E18="Імпорт + оптовий продаж"),O18*$R$6/100,0)</f>
        <v>0</v>
      </c>
      <c r="Q18" s="38">
        <f>IF(E18="Виробництво",O18*$R$7/100,0)</f>
        <v>2.5772992061942297</v>
      </c>
      <c r="R18" s="38">
        <f>IF(E18="Роздрібна торгівля",O18*$R$8/100,0)</f>
        <v>0</v>
      </c>
      <c r="S18" s="38">
        <f>IF(E18="Експорт товарів і напівфабрикатів",O18*$X$4/100,0)</f>
        <v>0</v>
      </c>
      <c r="T18" s="38">
        <f>IF(E18="Експорт сировини",O18*$X$5/100,0)</f>
        <v>0</v>
      </c>
      <c r="U18" s="38">
        <f>O18+P18+Q18+R18+S18+T18</f>
        <v>105.6692674539634</v>
      </c>
      <c r="V18" s="38">
        <f>N18</f>
        <v>1.0207125569086057</v>
      </c>
      <c r="W18" s="38">
        <f>H18+I18+P18+Q18+R18+S18+T18</f>
        <v>2.5772992061942297</v>
      </c>
      <c r="X18" s="38">
        <f>IF(OR(F18="Кінцеве споживання",F18="Експорт"),U18,0)</f>
        <v>105.6692674539634</v>
      </c>
      <c r="Y18" s="38">
        <f>IF(F18="Перехід",U18,0)</f>
        <v>0</v>
      </c>
      <c r="Z18" s="39">
        <f>IF($D$8=0,0,SUM($X$11:X13,$X$16:X18)/$D$8*100-100)</f>
        <v>-86.28740019592729</v>
      </c>
      <c r="AA18" s="39"/>
      <c r="AB18" s="38">
        <f>U18</f>
        <v>105.6692674539634</v>
      </c>
      <c r="AC18" s="37" t="s">
        <v>83</v>
      </c>
      <c r="AD18" s="39">
        <f>IF($AB$41=0,0,AB18/$AB$41*100)</f>
        <v>0.86247834964810133</v>
      </c>
      <c r="AE18" s="40"/>
      <c r="AF18" s="40"/>
      <c r="AG18" s="40"/>
      <c r="AH18" s="40"/>
      <c r="AI18" s="27"/>
      <c r="AJ18" s="27"/>
      <c r="AK18" s="27"/>
    </row>
    <row r="19" spans="1:37" ht="21.75" customHeight="1" x14ac:dyDescent="0.2">
      <c r="A19" s="35">
        <v>2</v>
      </c>
      <c r="B19" s="36">
        <v>62.616217166495403</v>
      </c>
      <c r="C19" s="37" t="s">
        <v>159</v>
      </c>
      <c r="D19" s="37" t="s">
        <v>153</v>
      </c>
      <c r="E19" s="37" t="s">
        <v>83</v>
      </c>
      <c r="F19" s="37" t="s">
        <v>75</v>
      </c>
      <c r="G19" s="38">
        <f>$Y$14*B19/100</f>
        <v>1572.157118176196</v>
      </c>
      <c r="H19" s="38">
        <f>IF(D19="Імпорт товарів кінцевого споживання",G19*$R$4/100,0)</f>
        <v>0</v>
      </c>
      <c r="I19" s="38">
        <f>IF(D19="Імпорт сировини й напівфабрикатів",G19*$R$5/100,0)</f>
        <v>0</v>
      </c>
      <c r="J19" s="39">
        <f>$D$5</f>
        <v>21.828816533088698</v>
      </c>
      <c r="K19" s="38">
        <f>G19*J19/100</f>
        <v>343.18329293857624</v>
      </c>
      <c r="L19" s="38">
        <f>G19+H19+I19+K19</f>
        <v>1915.3404111147722</v>
      </c>
      <c r="M19" s="39">
        <f>$X$8</f>
        <v>1</v>
      </c>
      <c r="N19" s="38">
        <f>L19*M19/100</f>
        <v>19.153404111147722</v>
      </c>
      <c r="O19" s="38">
        <f>L19+N19</f>
        <v>1934.4938152259199</v>
      </c>
      <c r="P19" s="38">
        <f>IF(OR(E19="Оптова торгівля",E19="Імпорт + оптовий продаж"),O19*$R$6/100,0)</f>
        <v>0</v>
      </c>
      <c r="Q19" s="38">
        <f>IF(E19="Виробництво",O19*$R$7/100,0)</f>
        <v>48.362345380647994</v>
      </c>
      <c r="R19" s="38">
        <f>IF(E19="Роздрібна торгівля",O19*$R$8/100,0)</f>
        <v>0</v>
      </c>
      <c r="S19" s="38">
        <f>IF(E19="Експорт товарів і напівфабрикатів",O19*$X$4/100,0)</f>
        <v>0</v>
      </c>
      <c r="T19" s="38">
        <f>IF(E19="Експорт сировини",O19*$X$5/100,0)</f>
        <v>0</v>
      </c>
      <c r="U19" s="38">
        <f>O19+P19+Q19+R19+S19+T19</f>
        <v>1982.856160606568</v>
      </c>
      <c r="V19" s="38">
        <f>N19</f>
        <v>19.153404111147722</v>
      </c>
      <c r="W19" s="38">
        <f>H19+I19+P19+Q19+R19+S19+T19</f>
        <v>48.362345380647994</v>
      </c>
      <c r="X19" s="38">
        <f>IF(OR(F19="Кінцеве споживання",F19="Експорт"),U19,0)</f>
        <v>0</v>
      </c>
      <c r="Y19" s="38">
        <f>IF(F19="Перехід",U19,0)</f>
        <v>1982.856160606568</v>
      </c>
      <c r="Z19" s="39">
        <f>IF($D$8=0,0,SUM($X$11:X13,$X$16:X19)/$D$8*100-100)</f>
        <v>-86.28740019592729</v>
      </c>
      <c r="AA19" s="39"/>
      <c r="AB19" s="38">
        <f>U19</f>
        <v>1982.856160606568</v>
      </c>
      <c r="AC19" s="37" t="s">
        <v>83</v>
      </c>
      <c r="AD19" s="39">
        <f>IF($AB$41=0,0,AB19/$AB$41*100)</f>
        <v>16.184180606102789</v>
      </c>
      <c r="AE19" s="40"/>
      <c r="AF19" s="40"/>
      <c r="AG19" s="40"/>
      <c r="AH19" s="40"/>
      <c r="AI19" s="27"/>
      <c r="AJ19" s="27"/>
      <c r="AK19" s="27"/>
    </row>
    <row r="20" spans="1:37" ht="21.75" customHeight="1" x14ac:dyDescent="0.2">
      <c r="A20" s="35">
        <v>2</v>
      </c>
      <c r="B20" s="36">
        <v>29.075371335953299</v>
      </c>
      <c r="C20" s="37" t="s">
        <v>160</v>
      </c>
      <c r="D20" s="37" t="s">
        <v>153</v>
      </c>
      <c r="E20" s="37" t="s">
        <v>161</v>
      </c>
      <c r="F20" s="37" t="s">
        <v>75</v>
      </c>
      <c r="G20" s="38">
        <f>$Y$14*B20/100</f>
        <v>730.01937961040096</v>
      </c>
      <c r="H20" s="38">
        <f>IF(D20="Імпорт товарів кінцевого споживання",G20*$R$4/100,0)</f>
        <v>0</v>
      </c>
      <c r="I20" s="38">
        <f>IF(D20="Імпорт сировини й напівфабрикатів",G20*$R$5/100,0)</f>
        <v>0</v>
      </c>
      <c r="J20" s="39">
        <f>$D$5</f>
        <v>21.828816533088698</v>
      </c>
      <c r="K20" s="38">
        <f>G20*J20/100</f>
        <v>159.35459103114675</v>
      </c>
      <c r="L20" s="38">
        <f>G20+H20+I20+K20</f>
        <v>889.37397064154766</v>
      </c>
      <c r="M20" s="39">
        <f>$X$7</f>
        <v>11.3104239756686</v>
      </c>
      <c r="N20" s="38">
        <f>L20*M20/100</f>
        <v>100.59196680879742</v>
      </c>
      <c r="O20" s="38">
        <f>L20+N20</f>
        <v>989.96593745034511</v>
      </c>
      <c r="P20" s="38">
        <f>IF(OR(E20="Оптова торгівля",E20="Імпорт + оптовий продаж"),O20*$R$6/100,0)</f>
        <v>34.648807810762079</v>
      </c>
      <c r="Q20" s="38">
        <f>IF(E20="Виробництво",O20*$R$7/100,0)</f>
        <v>0</v>
      </c>
      <c r="R20" s="38">
        <f>IF(E20="Роздрібна торгівля",O20*$R$8/100,0)</f>
        <v>0</v>
      </c>
      <c r="S20" s="38">
        <f>IF(E20="Експорт товарів і напівфабрикатів",O20*$X$4/100,0)</f>
        <v>0</v>
      </c>
      <c r="T20" s="38">
        <f>IF(E20="Експорт сировини",O20*$X$5/100,0)</f>
        <v>0</v>
      </c>
      <c r="U20" s="38">
        <f>O20+P20+Q20+R20+S20+T20</f>
        <v>1024.6147452611071</v>
      </c>
      <c r="V20" s="38">
        <f>N20</f>
        <v>100.59196680879742</v>
      </c>
      <c r="W20" s="38">
        <f>H20+I20+P20+Q20+R20+S20+T20</f>
        <v>34.648807810762079</v>
      </c>
      <c r="X20" s="38">
        <f>IF(OR(F20="Кінцеве споживання",F20="Експорт"),U20,0)</f>
        <v>0</v>
      </c>
      <c r="Y20" s="38">
        <f>IF(F20="Перехід",U20,0)</f>
        <v>1024.6147452611071</v>
      </c>
      <c r="Z20" s="39">
        <f>IF($D$8=0,0,SUM($X$11:X13,$X$16:X20)/$D$8*100-100)</f>
        <v>-86.28740019592729</v>
      </c>
      <c r="AA20" s="39"/>
      <c r="AB20" s="38">
        <f>U20</f>
        <v>1024.6147452611071</v>
      </c>
      <c r="AC20" s="37" t="s">
        <v>162</v>
      </c>
      <c r="AD20" s="39">
        <f>IF($AB$41=0,0,AB20/$AB$41*100)</f>
        <v>8.3629616804423446</v>
      </c>
      <c r="AE20" s="40"/>
      <c r="AF20" s="40"/>
      <c r="AG20" s="40"/>
      <c r="AH20" s="40"/>
      <c r="AI20" s="27"/>
      <c r="AJ20" s="27"/>
      <c r="AK20" s="27"/>
    </row>
    <row r="21" spans="1:37" ht="21.75" customHeight="1" x14ac:dyDescent="0.2">
      <c r="A21" s="41">
        <v>2</v>
      </c>
      <c r="B21" s="42">
        <f>SUM(B16:B20)</f>
        <v>100.00000000000003</v>
      </c>
      <c r="C21" s="43" t="s">
        <v>95</v>
      </c>
      <c r="D21" s="43" t="s">
        <v>85</v>
      </c>
      <c r="E21" s="43" t="s">
        <v>85</v>
      </c>
      <c r="F21" s="43" t="s">
        <v>85</v>
      </c>
      <c r="G21" s="44">
        <f>SUM(G16:G20)</f>
        <v>2510.7826523532376</v>
      </c>
      <c r="H21" s="44">
        <f>SUM(H16:H20)</f>
        <v>0</v>
      </c>
      <c r="I21" s="44">
        <f>SUM(I16:I20)</f>
        <v>0</v>
      </c>
      <c r="J21" s="42"/>
      <c r="K21" s="44">
        <f>SUM(K16:K20)</f>
        <v>548.0741387268065</v>
      </c>
      <c r="L21" s="44">
        <f>SUM(L16:L20)</f>
        <v>3058.8567910800443</v>
      </c>
      <c r="M21" s="42"/>
      <c r="N21" s="44">
        <f t="shared" ref="N21:Y21" si="1">SUM(N16:N20)</f>
        <v>122.28679501318238</v>
      </c>
      <c r="O21" s="44">
        <f t="shared" si="1"/>
        <v>3181.143586093227</v>
      </c>
      <c r="P21" s="44">
        <f t="shared" si="1"/>
        <v>34.648807810762079</v>
      </c>
      <c r="Q21" s="44">
        <f t="shared" si="1"/>
        <v>50.939644586842221</v>
      </c>
      <c r="R21" s="44">
        <f t="shared" si="1"/>
        <v>0</v>
      </c>
      <c r="S21" s="44">
        <f t="shared" si="1"/>
        <v>1.7279084831534126</v>
      </c>
      <c r="T21" s="44">
        <f t="shared" si="1"/>
        <v>1.5359186516919265</v>
      </c>
      <c r="U21" s="44">
        <f t="shared" si="1"/>
        <v>3269.9958656256763</v>
      </c>
      <c r="V21" s="44">
        <f t="shared" si="1"/>
        <v>122.28679501318238</v>
      </c>
      <c r="W21" s="44">
        <f t="shared" si="1"/>
        <v>88.852279532449643</v>
      </c>
      <c r="X21" s="44">
        <f t="shared" si="1"/>
        <v>262.5249597580011</v>
      </c>
      <c r="Y21" s="44">
        <f t="shared" si="1"/>
        <v>3007.4709058676754</v>
      </c>
      <c r="Z21" s="42">
        <f>IF($D$8=0,0,SUM($X$11:X13,$X$16:X20)/$D$8*100-100)</f>
        <v>-86.28740019592729</v>
      </c>
      <c r="AA21" s="42" t="str">
        <f>IF(ABS(SUM(B16:B20)-100)&lt;0.01,"ОК","ПОМИЛКА")</f>
        <v>ОК</v>
      </c>
      <c r="AB21" s="44">
        <f>SUM(AB16:AB20)</f>
        <v>3269.9958656256763</v>
      </c>
      <c r="AC21" s="43"/>
      <c r="AD21" s="42"/>
      <c r="AE21" s="40"/>
      <c r="AF21" s="40"/>
      <c r="AG21" s="40"/>
      <c r="AH21" s="40"/>
      <c r="AI21" s="27"/>
      <c r="AJ21" s="27"/>
      <c r="AK21" s="27"/>
    </row>
    <row r="22" spans="1:37" ht="21.75" customHeight="1" x14ac:dyDescent="0.2">
      <c r="A22" s="35"/>
      <c r="B22" s="39"/>
      <c r="C22" s="37"/>
      <c r="D22" s="37"/>
      <c r="E22" s="37"/>
      <c r="F22" s="37"/>
      <c r="G22" s="38"/>
      <c r="H22" s="38"/>
      <c r="I22" s="38"/>
      <c r="J22" s="39"/>
      <c r="K22" s="38"/>
      <c r="L22" s="38"/>
      <c r="M22" s="39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9"/>
      <c r="AA22" s="39"/>
      <c r="AB22" s="38"/>
      <c r="AC22" s="37"/>
      <c r="AD22" s="39"/>
      <c r="AE22" s="40"/>
      <c r="AF22" s="40"/>
      <c r="AG22" s="40"/>
      <c r="AH22" s="40"/>
      <c r="AI22" s="27"/>
      <c r="AJ22" s="27"/>
      <c r="AK22" s="27"/>
    </row>
    <row r="23" spans="1:37" ht="21.75" customHeight="1" x14ac:dyDescent="0.2">
      <c r="A23" s="35">
        <v>3</v>
      </c>
      <c r="B23" s="36">
        <v>30.236674633123101</v>
      </c>
      <c r="C23" s="37" t="s">
        <v>154</v>
      </c>
      <c r="D23" s="37" t="s">
        <v>153</v>
      </c>
      <c r="E23" s="37" t="s">
        <v>155</v>
      </c>
      <c r="F23" s="37" t="s">
        <v>87</v>
      </c>
      <c r="G23" s="38">
        <f>$Y$21*B23/100</f>
        <v>909.35919249304891</v>
      </c>
      <c r="H23" s="38">
        <f>IF(D23="Імпорт товарів кінцевого споживання",G23*$R$4/100,0)</f>
        <v>0</v>
      </c>
      <c r="I23" s="38">
        <f>IF(D23="Імпорт сировини й напівфабрикатів",G23*$R$5/100,0)</f>
        <v>0</v>
      </c>
      <c r="J23" s="39">
        <f>$D$5</f>
        <v>21.828816533088698</v>
      </c>
      <c r="K23" s="38">
        <f>G23*J23/100</f>
        <v>198.50234975608456</v>
      </c>
      <c r="L23" s="38">
        <f>G23+H23+I23+K23</f>
        <v>1107.8615422491334</v>
      </c>
      <c r="M23" s="39">
        <f>$AC$4</f>
        <v>1</v>
      </c>
      <c r="N23" s="38">
        <f>L23*M23/100</f>
        <v>11.078615422491334</v>
      </c>
      <c r="O23" s="38">
        <f>L23+N23</f>
        <v>1118.9401576716248</v>
      </c>
      <c r="P23" s="38">
        <f>IF(OR(E23="Оптова торгівля",E23="Імпорт + оптовий продаж"),O23*$R$6/100,0)</f>
        <v>0</v>
      </c>
      <c r="Q23" s="38">
        <f>IF(E23="Виробництво",O23*$R$7/100,0)</f>
        <v>0</v>
      </c>
      <c r="R23" s="38">
        <f>IF(E23="Роздрібна торгівля",O23*$R$8/100,0)</f>
        <v>0</v>
      </c>
      <c r="S23" s="38">
        <f>IF(E23="Експорт товарів і напівфабрикатів",O23*$X$4/100,0)</f>
        <v>16.784102365074371</v>
      </c>
      <c r="T23" s="38">
        <f>IF(E23="Експорт сировини",O23*$X$5/100,0)</f>
        <v>0</v>
      </c>
      <c r="U23" s="38">
        <f>O23+P23+Q23+R23+S23+T23</f>
        <v>1135.7242600366992</v>
      </c>
      <c r="V23" s="38">
        <f>N23</f>
        <v>11.078615422491334</v>
      </c>
      <c r="W23" s="38">
        <f>H23+I23+P23+Q23+R23+S23+T23</f>
        <v>16.784102365074371</v>
      </c>
      <c r="X23" s="38">
        <f>IF(OR(F23="Кінцеве споживання",F23="Експорт"),U23,0)</f>
        <v>1135.7242600366992</v>
      </c>
      <c r="Y23" s="38">
        <f>IF(F23="Перехід",U23,0)</f>
        <v>0</v>
      </c>
      <c r="Z23" s="39">
        <f>IF($D$8=0,0,SUM($X$11:X13,$X$16:X20,$X$23:X23)/$D$8*100-100)</f>
        <v>-26.964537028874801</v>
      </c>
      <c r="AA23" s="39"/>
      <c r="AB23" s="38">
        <f>U23</f>
        <v>1135.7242600366992</v>
      </c>
      <c r="AC23" s="37" t="s">
        <v>87</v>
      </c>
      <c r="AD23" s="39">
        <f>IF($AB$41=0,0,AB23/$AB$41*100)</f>
        <v>9.2698436267528344</v>
      </c>
      <c r="AE23" s="40"/>
      <c r="AF23" s="40"/>
      <c r="AG23" s="40"/>
      <c r="AH23" s="40"/>
      <c r="AI23" s="27"/>
      <c r="AJ23" s="27"/>
      <c r="AK23" s="27"/>
    </row>
    <row r="24" spans="1:37" ht="21.75" customHeight="1" x14ac:dyDescent="0.2">
      <c r="A24" s="35">
        <v>3</v>
      </c>
      <c r="B24" s="36">
        <v>10.0788915443744</v>
      </c>
      <c r="C24" s="37" t="s">
        <v>156</v>
      </c>
      <c r="D24" s="37" t="s">
        <v>153</v>
      </c>
      <c r="E24" s="37" t="s">
        <v>157</v>
      </c>
      <c r="F24" s="37" t="s">
        <v>87</v>
      </c>
      <c r="G24" s="38">
        <f>$Y$21*B24/100</f>
        <v>303.11973083101731</v>
      </c>
      <c r="H24" s="38">
        <f>IF(D24="Імпорт товарів кінцевого споживання",G24*$R$4/100,0)</f>
        <v>0</v>
      </c>
      <c r="I24" s="38">
        <f>IF(D24="Імпорт сировини й напівфабрикатів",G24*$R$5/100,0)</f>
        <v>0</v>
      </c>
      <c r="J24" s="39">
        <f>$D$5</f>
        <v>21.828816533088698</v>
      </c>
      <c r="K24" s="38">
        <f>G24*J24/100</f>
        <v>66.16744991869507</v>
      </c>
      <c r="L24" s="38">
        <f>G24+H24+I24+K24</f>
        <v>369.28718074971238</v>
      </c>
      <c r="M24" s="39">
        <f>$AC$4</f>
        <v>1</v>
      </c>
      <c r="N24" s="38">
        <f>L24*M24/100</f>
        <v>3.6928718074971236</v>
      </c>
      <c r="O24" s="38">
        <f>L24+N24</f>
        <v>372.98005255720949</v>
      </c>
      <c r="P24" s="38">
        <f>IF(OR(E24="Оптова торгівля",E24="Імпорт + оптовий продаж"),O24*$R$6/100,0)</f>
        <v>0</v>
      </c>
      <c r="Q24" s="38">
        <f>IF(E24="Виробництво",O24*$R$7/100,0)</f>
        <v>0</v>
      </c>
      <c r="R24" s="38">
        <f>IF(E24="Роздрібна торгівля",O24*$R$8/100,0)</f>
        <v>0</v>
      </c>
      <c r="S24" s="38">
        <f>IF(E24="Експорт товарів і напівфабрикатів",O24*$X$4/100,0)</f>
        <v>0</v>
      </c>
      <c r="T24" s="38">
        <f>IF(E24="Експорт сировини",O24*$X$5/100,0)</f>
        <v>14.919202102288379</v>
      </c>
      <c r="U24" s="38">
        <f>O24+P24+Q24+R24+S24+T24</f>
        <v>387.89925465949784</v>
      </c>
      <c r="V24" s="38">
        <f>N24</f>
        <v>3.6928718074971236</v>
      </c>
      <c r="W24" s="38">
        <f>H24+I24+P24+Q24+R24+S24+T24</f>
        <v>14.919202102288379</v>
      </c>
      <c r="X24" s="38">
        <f>IF(OR(F24="Кінцеве споживання",F24="Експорт"),U24,0)</f>
        <v>387.89925465949784</v>
      </c>
      <c r="Y24" s="38">
        <f>IF(F24="Перехід",U24,0)</f>
        <v>0</v>
      </c>
      <c r="Z24" s="39">
        <f>IF($D$8=0,0,SUM($X$11:X13,$X$16:X20,$X$23:X24)/$D$8*100-100)</f>
        <v>-6.7031978847911233</v>
      </c>
      <c r="AA24" s="39"/>
      <c r="AB24" s="38">
        <f>U24</f>
        <v>387.89925465949784</v>
      </c>
      <c r="AC24" s="37" t="s">
        <v>87</v>
      </c>
      <c r="AD24" s="39">
        <f>IF($AB$41=0,0,AB24/$AB$41*100)</f>
        <v>3.1660549661159205</v>
      </c>
      <c r="AE24" s="40"/>
      <c r="AF24" s="40"/>
      <c r="AG24" s="40"/>
      <c r="AH24" s="40"/>
      <c r="AI24" s="27"/>
      <c r="AJ24" s="27"/>
      <c r="AK24" s="27"/>
    </row>
    <row r="25" spans="1:37" ht="21.75" customHeight="1" x14ac:dyDescent="0.2">
      <c r="A25" s="35">
        <v>3</v>
      </c>
      <c r="B25" s="36">
        <v>41.7458423930686</v>
      </c>
      <c r="C25" s="37" t="s">
        <v>158</v>
      </c>
      <c r="D25" s="37" t="s">
        <v>153</v>
      </c>
      <c r="E25" s="37" t="s">
        <v>83</v>
      </c>
      <c r="F25" s="37" t="s">
        <v>90</v>
      </c>
      <c r="G25" s="38">
        <f>$Y$21*B25/100</f>
        <v>1255.4940643809123</v>
      </c>
      <c r="H25" s="38">
        <f>IF(D25="Імпорт товарів кінцевого споживання",G25*$R$4/100,0)</f>
        <v>0</v>
      </c>
      <c r="I25" s="38">
        <f>IF(D25="Імпорт сировини й напівфабрикатів",G25*$R$5/100,0)</f>
        <v>0</v>
      </c>
      <c r="J25" s="39">
        <f>$D$5</f>
        <v>21.828816533088698</v>
      </c>
      <c r="K25" s="38">
        <f>G25*J25/100</f>
        <v>274.05949589752782</v>
      </c>
      <c r="L25" s="38">
        <f>G25+H25+I25+K25</f>
        <v>1529.55356027844</v>
      </c>
      <c r="M25" s="39">
        <f>$X$8</f>
        <v>1</v>
      </c>
      <c r="N25" s="38">
        <f>L25*M25/100</f>
        <v>15.295535602784401</v>
      </c>
      <c r="O25" s="38">
        <f>L25+N25</f>
        <v>1544.8490958812245</v>
      </c>
      <c r="P25" s="38">
        <f>IF(OR(E25="Оптова торгівля",E25="Імпорт + оптовий продаж"),O25*$R$6/100,0)</f>
        <v>0</v>
      </c>
      <c r="Q25" s="38">
        <f>IF(E25="Виробництво",O25*$R$7/100,0)</f>
        <v>38.621227397030609</v>
      </c>
      <c r="R25" s="38">
        <f>IF(E25="Роздрібна торгівля",O25*$R$8/100,0)</f>
        <v>0</v>
      </c>
      <c r="S25" s="38">
        <f>IF(E25="Експорт товарів і напівфабрикатів",O25*$X$4/100,0)</f>
        <v>0</v>
      </c>
      <c r="T25" s="38">
        <f>IF(E25="Експорт сировини",O25*$X$5/100,0)</f>
        <v>0</v>
      </c>
      <c r="U25" s="38">
        <f>O25+P25+Q25+R25+S25+T25</f>
        <v>1583.4703232782551</v>
      </c>
      <c r="V25" s="38">
        <f>N25</f>
        <v>15.295535602784401</v>
      </c>
      <c r="W25" s="38">
        <f>H25+I25+P25+Q25+R25+S25+T25</f>
        <v>38.621227397030609</v>
      </c>
      <c r="X25" s="38">
        <f>IF(OR(F25="Кінцеве споживання",F25="Експорт"),U25,0)</f>
        <v>1583.4703232782551</v>
      </c>
      <c r="Y25" s="38">
        <f>IF(F25="Перехід",U25,0)</f>
        <v>0</v>
      </c>
      <c r="Z25" s="39">
        <f>IF($D$8=0,0,SUM($X$11:X13,$X$16:X20,$X$23:X25)/$D$8*100-100)</f>
        <v>76.007013230967601</v>
      </c>
      <c r="AA25" s="39"/>
      <c r="AB25" s="38">
        <f>U25</f>
        <v>1583.4703232782551</v>
      </c>
      <c r="AC25" s="37" t="s">
        <v>83</v>
      </c>
      <c r="AD25" s="39">
        <f>IF($AB$41=0,0,AB25/$AB$41*100)</f>
        <v>12.924371522995266</v>
      </c>
      <c r="AE25" s="40"/>
      <c r="AF25" s="40"/>
      <c r="AG25" s="40"/>
      <c r="AH25" s="40"/>
      <c r="AI25" s="27"/>
      <c r="AJ25" s="27"/>
      <c r="AK25" s="27"/>
    </row>
    <row r="26" spans="1:37" ht="21.75" customHeight="1" x14ac:dyDescent="0.2">
      <c r="A26" s="35">
        <v>3</v>
      </c>
      <c r="B26" s="36">
        <v>7.4235365432817604</v>
      </c>
      <c r="C26" s="37" t="s">
        <v>159</v>
      </c>
      <c r="D26" s="37" t="s">
        <v>153</v>
      </c>
      <c r="E26" s="37" t="s">
        <v>83</v>
      </c>
      <c r="F26" s="37" t="s">
        <v>75</v>
      </c>
      <c r="G26" s="38">
        <f>$Y$21*B26/100</f>
        <v>223.26070172565389</v>
      </c>
      <c r="H26" s="38">
        <f>IF(D26="Імпорт товарів кінцевого споживання",G26*$R$4/100,0)</f>
        <v>0</v>
      </c>
      <c r="I26" s="38">
        <f>IF(D26="Імпорт сировини й напівфабрикатів",G26*$R$5/100,0)</f>
        <v>0</v>
      </c>
      <c r="J26" s="39">
        <f>$D$5</f>
        <v>21.828816533088698</v>
      </c>
      <c r="K26" s="38">
        <f>G26*J26/100</f>
        <v>48.735168970179387</v>
      </c>
      <c r="L26" s="38">
        <f>G26+H26+I26+K26</f>
        <v>271.99587069583328</v>
      </c>
      <c r="M26" s="39">
        <f>$X$8</f>
        <v>1</v>
      </c>
      <c r="N26" s="38">
        <f>L26*M26/100</f>
        <v>2.7199587069583329</v>
      </c>
      <c r="O26" s="38">
        <f>L26+N26</f>
        <v>274.7158294027916</v>
      </c>
      <c r="P26" s="38">
        <f>IF(OR(E26="Оптова торгівля",E26="Імпорт + оптовий продаж"),O26*$R$6/100,0)</f>
        <v>0</v>
      </c>
      <c r="Q26" s="38">
        <f>IF(E26="Виробництво",O26*$R$7/100,0)</f>
        <v>6.8678957350697898</v>
      </c>
      <c r="R26" s="38">
        <f>IF(E26="Роздрібна торгівля",O26*$R$8/100,0)</f>
        <v>0</v>
      </c>
      <c r="S26" s="38">
        <f>IF(E26="Експорт товарів і напівфабрикатів",O26*$X$4/100,0)</f>
        <v>0</v>
      </c>
      <c r="T26" s="38">
        <f>IF(E26="Експорт сировини",O26*$X$5/100,0)</f>
        <v>0</v>
      </c>
      <c r="U26" s="38">
        <f>O26+P26+Q26+R26+S26+T26</f>
        <v>281.58372513786139</v>
      </c>
      <c r="V26" s="38">
        <f>N26</f>
        <v>2.7199587069583329</v>
      </c>
      <c r="W26" s="38">
        <f>H26+I26+P26+Q26+R26+S26+T26</f>
        <v>6.8678957350697898</v>
      </c>
      <c r="X26" s="38">
        <f>IF(OR(F26="Кінцеве споживання",F26="Експорт"),U26,0)</f>
        <v>0</v>
      </c>
      <c r="Y26" s="38">
        <f>IF(F26="Перехід",U26,0)</f>
        <v>281.58372513786139</v>
      </c>
      <c r="Z26" s="39">
        <f>IF($D$8=0,0,SUM($X$11:X13,$X$16:X20,$X$23:X26)/$D$8*100-100)</f>
        <v>76.007013230967601</v>
      </c>
      <c r="AA26" s="39"/>
      <c r="AB26" s="38">
        <f>U26</f>
        <v>281.58372513786139</v>
      </c>
      <c r="AC26" s="37" t="s">
        <v>83</v>
      </c>
      <c r="AD26" s="39">
        <f>IF($AB$41=0,0,AB26/$AB$41*100)</f>
        <v>2.298301790068463</v>
      </c>
      <c r="AE26" s="40"/>
      <c r="AF26" s="40"/>
      <c r="AG26" s="40"/>
      <c r="AH26" s="40"/>
      <c r="AI26" s="27"/>
      <c r="AJ26" s="27"/>
      <c r="AK26" s="27"/>
    </row>
    <row r="27" spans="1:37" ht="21.75" customHeight="1" x14ac:dyDescent="0.2">
      <c r="A27" s="35">
        <v>3</v>
      </c>
      <c r="B27" s="36">
        <v>10.515054886152299</v>
      </c>
      <c r="C27" s="37" t="s">
        <v>160</v>
      </c>
      <c r="D27" s="37" t="s">
        <v>153</v>
      </c>
      <c r="E27" s="37" t="s">
        <v>161</v>
      </c>
      <c r="F27" s="37" t="s">
        <v>75</v>
      </c>
      <c r="G27" s="38">
        <f>$Y$21*B27/100</f>
        <v>316.23721643704783</v>
      </c>
      <c r="H27" s="38">
        <f>IF(D27="Імпорт товарів кінцевого споживання",G27*$R$4/100,0)</f>
        <v>0</v>
      </c>
      <c r="I27" s="38">
        <f>IF(D27="Імпорт сировини й напівфабрикатів",G27*$R$5/100,0)</f>
        <v>0</v>
      </c>
      <c r="J27" s="39">
        <f>$D$5</f>
        <v>21.828816533088698</v>
      </c>
      <c r="K27" s="38">
        <f>G27*J27/100</f>
        <v>69.030841785389782</v>
      </c>
      <c r="L27" s="38">
        <f>G27+H27+I27+K27</f>
        <v>385.26805822243762</v>
      </c>
      <c r="M27" s="39">
        <f>$X$7</f>
        <v>11.3104239756686</v>
      </c>
      <c r="N27" s="38">
        <f>L27*M27/100</f>
        <v>43.575450827783442</v>
      </c>
      <c r="O27" s="38">
        <f>L27+N27</f>
        <v>428.84350905022109</v>
      </c>
      <c r="P27" s="38">
        <f>IF(OR(E27="Оптова торгівля",E27="Імпорт + оптовий продаж"),O27*$R$6/100,0)</f>
        <v>15.009522816757737</v>
      </c>
      <c r="Q27" s="38">
        <f>IF(E27="Виробництво",O27*$R$7/100,0)</f>
        <v>0</v>
      </c>
      <c r="R27" s="38">
        <f>IF(E27="Роздрібна торгівля",O27*$R$8/100,0)</f>
        <v>0</v>
      </c>
      <c r="S27" s="38">
        <f>IF(E27="Експорт товарів і напівфабрикатів",O27*$X$4/100,0)</f>
        <v>0</v>
      </c>
      <c r="T27" s="38">
        <f>IF(E27="Експорт сировини",O27*$X$5/100,0)</f>
        <v>0</v>
      </c>
      <c r="U27" s="38">
        <f>O27+P27+Q27+R27+S27+T27</f>
        <v>443.85303186697882</v>
      </c>
      <c r="V27" s="38">
        <f>N27</f>
        <v>43.575450827783442</v>
      </c>
      <c r="W27" s="38">
        <f>H27+I27+P27+Q27+R27+S27+T27</f>
        <v>15.009522816757737</v>
      </c>
      <c r="X27" s="38">
        <f>IF(OR(F27="Кінцеве споживання",F27="Експорт"),U27,0)</f>
        <v>0</v>
      </c>
      <c r="Y27" s="38">
        <f>IF(F27="Перехід",U27,0)</f>
        <v>443.85303186697882</v>
      </c>
      <c r="Z27" s="39">
        <f>IF($D$8=0,0,SUM($X$11:X13,$X$16:X20,$X$23:X27)/$D$8*100-100)</f>
        <v>76.007013230967601</v>
      </c>
      <c r="AA27" s="39"/>
      <c r="AB27" s="38">
        <f>U27</f>
        <v>443.85303186697882</v>
      </c>
      <c r="AC27" s="37" t="s">
        <v>162</v>
      </c>
      <c r="AD27" s="39">
        <f>IF($AB$41=0,0,AB27/$AB$41*100)</f>
        <v>3.6227527608982166</v>
      </c>
      <c r="AE27" s="40"/>
      <c r="AF27" s="40"/>
      <c r="AG27" s="40"/>
      <c r="AH27" s="40"/>
      <c r="AI27" s="27"/>
      <c r="AJ27" s="27"/>
      <c r="AK27" s="27"/>
    </row>
    <row r="28" spans="1:37" ht="21.75" customHeight="1" x14ac:dyDescent="0.2">
      <c r="A28" s="41">
        <v>3</v>
      </c>
      <c r="B28" s="42">
        <f>SUM(B23:B27)</f>
        <v>100.00000000000016</v>
      </c>
      <c r="C28" s="43" t="s">
        <v>96</v>
      </c>
      <c r="D28" s="43" t="s">
        <v>85</v>
      </c>
      <c r="E28" s="43" t="s">
        <v>85</v>
      </c>
      <c r="F28" s="43" t="s">
        <v>85</v>
      </c>
      <c r="G28" s="44">
        <f>SUM(G23:G27)</f>
        <v>3007.4709058676799</v>
      </c>
      <c r="H28" s="44">
        <f>SUM(H23:H27)</f>
        <v>0</v>
      </c>
      <c r="I28" s="44">
        <f>SUM(I23:I27)</f>
        <v>0</v>
      </c>
      <c r="J28" s="42"/>
      <c r="K28" s="44">
        <f>SUM(K23:K27)</f>
        <v>656.49530632787651</v>
      </c>
      <c r="L28" s="44">
        <f>SUM(L23:L27)</f>
        <v>3663.9662121955566</v>
      </c>
      <c r="M28" s="42"/>
      <c r="N28" s="44">
        <f t="shared" ref="N28:Y28" si="2">SUM(N23:N27)</f>
        <v>76.362432367514629</v>
      </c>
      <c r="O28" s="44">
        <f t="shared" si="2"/>
        <v>3740.328644563072</v>
      </c>
      <c r="P28" s="44">
        <f t="shared" si="2"/>
        <v>15.009522816757737</v>
      </c>
      <c r="Q28" s="44">
        <f t="shared" si="2"/>
        <v>45.489123132100396</v>
      </c>
      <c r="R28" s="44">
        <f t="shared" si="2"/>
        <v>0</v>
      </c>
      <c r="S28" s="44">
        <f t="shared" si="2"/>
        <v>16.784102365074371</v>
      </c>
      <c r="T28" s="44">
        <f t="shared" si="2"/>
        <v>14.919202102288379</v>
      </c>
      <c r="U28" s="44">
        <f t="shared" si="2"/>
        <v>3832.5305949792923</v>
      </c>
      <c r="V28" s="44">
        <f t="shared" si="2"/>
        <v>76.362432367514629</v>
      </c>
      <c r="W28" s="44">
        <f t="shared" si="2"/>
        <v>92.201950416220882</v>
      </c>
      <c r="X28" s="44">
        <f t="shared" si="2"/>
        <v>3107.0938379744521</v>
      </c>
      <c r="Y28" s="44">
        <f t="shared" si="2"/>
        <v>725.43675700484027</v>
      </c>
      <c r="Z28" s="42">
        <f>IF($D$8=0,0,SUM($X$11:X13,$X$16:X20,$X$23:X27)/$D$8*100-100)</f>
        <v>76.007013230967601</v>
      </c>
      <c r="AA28" s="42" t="str">
        <f>IF(ABS(SUM(B23:B27)-100)&lt;0.01,"ОК","ПОМИЛКА")</f>
        <v>ОК</v>
      </c>
      <c r="AB28" s="44">
        <f>SUM(AB23:AB27)</f>
        <v>3832.5305949792923</v>
      </c>
      <c r="AC28" s="43"/>
      <c r="AD28" s="42"/>
      <c r="AE28" s="40"/>
      <c r="AF28" s="40"/>
      <c r="AG28" s="40"/>
      <c r="AH28" s="40"/>
      <c r="AI28" s="27"/>
      <c r="AJ28" s="27"/>
      <c r="AK28" s="27"/>
    </row>
    <row r="29" spans="1:37" ht="21.75" customHeight="1" x14ac:dyDescent="0.2">
      <c r="A29" s="35"/>
      <c r="B29" s="39"/>
      <c r="C29" s="37"/>
      <c r="D29" s="37"/>
      <c r="E29" s="37"/>
      <c r="F29" s="37"/>
      <c r="G29" s="38"/>
      <c r="H29" s="38"/>
      <c r="I29" s="38"/>
      <c r="J29" s="39"/>
      <c r="K29" s="38"/>
      <c r="L29" s="38"/>
      <c r="M29" s="39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9"/>
      <c r="AA29" s="39"/>
      <c r="AB29" s="38"/>
      <c r="AC29" s="37"/>
      <c r="AD29" s="39"/>
      <c r="AE29" s="40"/>
      <c r="AF29" s="40"/>
      <c r="AG29" s="40"/>
      <c r="AH29" s="40"/>
      <c r="AI29" s="27"/>
      <c r="AJ29" s="27"/>
      <c r="AK29" s="27"/>
    </row>
    <row r="30" spans="1:37" ht="21.75" customHeight="1" x14ac:dyDescent="0.2">
      <c r="A30" s="35">
        <v>4</v>
      </c>
      <c r="B30" s="36">
        <v>0</v>
      </c>
      <c r="C30" s="37" t="s">
        <v>163</v>
      </c>
      <c r="D30" s="37" t="s">
        <v>153</v>
      </c>
      <c r="E30" s="37" t="s">
        <v>164</v>
      </c>
      <c r="F30" s="37" t="s">
        <v>90</v>
      </c>
      <c r="G30" s="38">
        <f>$Y$28*B30/100</f>
        <v>0</v>
      </c>
      <c r="H30" s="38">
        <f>IF(D30="Імпорт товарів кінцевого споживання",G30*$R$4/100,0)</f>
        <v>0</v>
      </c>
      <c r="I30" s="38">
        <f>IF(D30="Імпорт сировини й напівфабрикатів",G30*$R$5/100,0)</f>
        <v>0</v>
      </c>
      <c r="J30" s="39">
        <f>$D$5</f>
        <v>21.828816533088698</v>
      </c>
      <c r="K30" s="38">
        <f>G30*J30/100</f>
        <v>0</v>
      </c>
      <c r="L30" s="38">
        <f>G30+H30+I30+K30</f>
        <v>0</v>
      </c>
      <c r="M30" s="39">
        <f>$AC$5</f>
        <v>25</v>
      </c>
      <c r="N30" s="38">
        <f>L30*M30/100</f>
        <v>0</v>
      </c>
      <c r="O30" s="38">
        <f>L30+N30</f>
        <v>0</v>
      </c>
      <c r="P30" s="38">
        <f>IF(OR(E30="Оптова торгівля",E30="Імпорт + оптовий продаж"),O30*$R$6/100,0)</f>
        <v>0</v>
      </c>
      <c r="Q30" s="38">
        <f>IF(E30="Виробництво",O30*$R$7/100,0)</f>
        <v>0</v>
      </c>
      <c r="R30" s="38">
        <f>IF(E30="Роздрібна торгівля",O30*$R$8/100,0)</f>
        <v>0</v>
      </c>
      <c r="S30" s="38">
        <f>IF(E30="Експорт товарів і напівфабрикатів",O30*$X$4/100,0)</f>
        <v>0</v>
      </c>
      <c r="T30" s="38">
        <f>IF(E30="Експорт сировини",O30*$X$5/100,0)</f>
        <v>0</v>
      </c>
      <c r="U30" s="38">
        <f>O30+P30+Q30+R30+S30+T30</f>
        <v>0</v>
      </c>
      <c r="V30" s="38">
        <f>N30</f>
        <v>0</v>
      </c>
      <c r="W30" s="38">
        <f>H30+I30+P30+Q30+R30+S30+T30</f>
        <v>0</v>
      </c>
      <c r="X30" s="38">
        <f>IF(OR(F30="Кінцеве споживання",F30="Експорт"),U30,0)</f>
        <v>0</v>
      </c>
      <c r="Y30" s="38">
        <f>IF(F30="Перехід",U30,0)</f>
        <v>0</v>
      </c>
      <c r="Z30" s="39">
        <f>IF($D$8=0,0,SUM($X$11:X13,$X$16:X20,$X$23:X27,$X$30:X30)/$D$8*100-100)</f>
        <v>76.007013230967601</v>
      </c>
      <c r="AA30" s="39"/>
      <c r="AB30" s="38">
        <f>U30</f>
        <v>0</v>
      </c>
      <c r="AC30" s="37" t="s">
        <v>98</v>
      </c>
      <c r="AD30" s="39">
        <f>IF($AB$41=0,0,AB30/$AB$41*100)</f>
        <v>0</v>
      </c>
      <c r="AE30" s="40"/>
      <c r="AF30" s="40"/>
      <c r="AG30" s="40"/>
      <c r="AH30" s="40"/>
      <c r="AI30" s="27"/>
      <c r="AJ30" s="27"/>
      <c r="AK30" s="27"/>
    </row>
    <row r="31" spans="1:37" ht="21.75" customHeight="1" x14ac:dyDescent="0.2">
      <c r="A31" s="35">
        <v>4</v>
      </c>
      <c r="B31" s="36">
        <v>100</v>
      </c>
      <c r="C31" s="37" t="s">
        <v>160</v>
      </c>
      <c r="D31" s="37" t="s">
        <v>153</v>
      </c>
      <c r="E31" s="37" t="s">
        <v>161</v>
      </c>
      <c r="F31" s="37" t="s">
        <v>75</v>
      </c>
      <c r="G31" s="38">
        <f>$Y$28*B31/100</f>
        <v>725.43675700484027</v>
      </c>
      <c r="H31" s="38">
        <f>IF(D31="Імпорт товарів кінцевого споживання",G31*$R$4/100,0)</f>
        <v>0</v>
      </c>
      <c r="I31" s="38">
        <f>IF(D31="Імпорт сировини й напівфабрикатів",G31*$R$5/100,0)</f>
        <v>0</v>
      </c>
      <c r="J31" s="39">
        <f>$D$5</f>
        <v>21.828816533088698</v>
      </c>
      <c r="K31" s="38">
        <f>G31*J31/100</f>
        <v>158.35425875017506</v>
      </c>
      <c r="L31" s="38">
        <f>G31+H31+I31+K31</f>
        <v>883.79101575501534</v>
      </c>
      <c r="M31" s="39">
        <f>$X$7</f>
        <v>11.3104239756686</v>
      </c>
      <c r="N31" s="38">
        <f>L31*M31/100</f>
        <v>99.960510940760301</v>
      </c>
      <c r="O31" s="38">
        <f>L31+N31</f>
        <v>983.75152669577562</v>
      </c>
      <c r="P31" s="38">
        <f>IF(OR(E31="Оптова торгівля",E31="Імпорт + оптовий продаж"),O31*$R$6/100,0)</f>
        <v>34.431303434352145</v>
      </c>
      <c r="Q31" s="38">
        <f>IF(E31="Виробництво",O31*$R$7/100,0)</f>
        <v>0</v>
      </c>
      <c r="R31" s="38">
        <f>IF(E31="Роздрібна торгівля",O31*$R$8/100,0)</f>
        <v>0</v>
      </c>
      <c r="S31" s="38">
        <f>IF(E31="Експорт товарів і напівфабрикатів",O31*$X$4/100,0)</f>
        <v>0</v>
      </c>
      <c r="T31" s="38">
        <f>IF(E31="Експорт сировини",O31*$X$5/100,0)</f>
        <v>0</v>
      </c>
      <c r="U31" s="38">
        <f>O31+P31+Q31+R31+S31+T31</f>
        <v>1018.1828301301277</v>
      </c>
      <c r="V31" s="38">
        <f>N31</f>
        <v>99.960510940760301</v>
      </c>
      <c r="W31" s="38">
        <f>H31+I31+P31+Q31+R31+S31+T31</f>
        <v>34.431303434352145</v>
      </c>
      <c r="X31" s="38">
        <f>IF(OR(F31="Кінцеве споживання",F31="Експорт"),U31,0)</f>
        <v>0</v>
      </c>
      <c r="Y31" s="38">
        <f>IF(F31="Перехід",U31,0)</f>
        <v>1018.1828301301277</v>
      </c>
      <c r="Z31" s="39">
        <f>IF($D$8=0,0,SUM($X$11:X13,$X$16:X20,$X$23:X27,$X$30:X31)/$D$8*100-100)</f>
        <v>76.007013230967601</v>
      </c>
      <c r="AA31" s="39"/>
      <c r="AB31" s="38">
        <f>U31</f>
        <v>1018.1828301301277</v>
      </c>
      <c r="AC31" s="37" t="s">
        <v>162</v>
      </c>
      <c r="AD31" s="39">
        <f>IF($AB$41=0,0,AB31/$AB$41*100)</f>
        <v>8.3104640367952864</v>
      </c>
      <c r="AE31" s="40"/>
      <c r="AF31" s="40"/>
      <c r="AG31" s="40"/>
      <c r="AH31" s="40"/>
      <c r="AI31" s="27"/>
      <c r="AJ31" s="27"/>
      <c r="AK31" s="27"/>
    </row>
    <row r="32" spans="1:37" ht="21.75" customHeight="1" x14ac:dyDescent="0.2">
      <c r="A32" s="41">
        <v>4</v>
      </c>
      <c r="B32" s="42">
        <f>SUM(B30:B31)</f>
        <v>100</v>
      </c>
      <c r="C32" s="43" t="s">
        <v>99</v>
      </c>
      <c r="D32" s="43" t="s">
        <v>85</v>
      </c>
      <c r="E32" s="43" t="s">
        <v>85</v>
      </c>
      <c r="F32" s="43" t="s">
        <v>85</v>
      </c>
      <c r="G32" s="44">
        <f>SUM(G30:G31)</f>
        <v>725.43675700484027</v>
      </c>
      <c r="H32" s="44">
        <f>SUM(H30:H31)</f>
        <v>0</v>
      </c>
      <c r="I32" s="44">
        <f>SUM(I30:I31)</f>
        <v>0</v>
      </c>
      <c r="J32" s="42"/>
      <c r="K32" s="44">
        <f>SUM(K30:K31)</f>
        <v>158.35425875017506</v>
      </c>
      <c r="L32" s="44">
        <f>SUM(L30:L31)</f>
        <v>883.79101575501534</v>
      </c>
      <c r="M32" s="42"/>
      <c r="N32" s="44">
        <f t="shared" ref="N32:Y32" si="3">SUM(N30:N31)</f>
        <v>99.960510940760301</v>
      </c>
      <c r="O32" s="44">
        <f t="shared" si="3"/>
        <v>983.75152669577562</v>
      </c>
      <c r="P32" s="44">
        <f t="shared" si="3"/>
        <v>34.431303434352145</v>
      </c>
      <c r="Q32" s="44">
        <f t="shared" si="3"/>
        <v>0</v>
      </c>
      <c r="R32" s="44">
        <f t="shared" si="3"/>
        <v>0</v>
      </c>
      <c r="S32" s="44">
        <f t="shared" si="3"/>
        <v>0</v>
      </c>
      <c r="T32" s="44">
        <f t="shared" si="3"/>
        <v>0</v>
      </c>
      <c r="U32" s="44">
        <f t="shared" si="3"/>
        <v>1018.1828301301277</v>
      </c>
      <c r="V32" s="44">
        <f t="shared" si="3"/>
        <v>99.960510940760301</v>
      </c>
      <c r="W32" s="44">
        <f t="shared" si="3"/>
        <v>34.431303434352145</v>
      </c>
      <c r="X32" s="44">
        <f t="shared" si="3"/>
        <v>0</v>
      </c>
      <c r="Y32" s="44">
        <f t="shared" si="3"/>
        <v>1018.1828301301277</v>
      </c>
      <c r="Z32" s="42">
        <f>IF($D$8=0,0,SUM($X$11:X13,$X$16:X20,$X$23:X27,$X$30:X31)/$D$8*100-100)</f>
        <v>76.007013230967601</v>
      </c>
      <c r="AA32" s="42" t="str">
        <f>IF(ABS(SUM(B30:B31)-100)&lt;0.01,"ОК","ПОМИЛКА")</f>
        <v>ОК</v>
      </c>
      <c r="AB32" s="44">
        <f>SUM(AB30:AB31)</f>
        <v>1018.1828301301277</v>
      </c>
      <c r="AC32" s="43"/>
      <c r="AD32" s="42"/>
      <c r="AE32" s="40"/>
      <c r="AF32" s="40"/>
      <c r="AG32" s="40"/>
      <c r="AH32" s="40"/>
      <c r="AI32" s="27"/>
      <c r="AJ32" s="27"/>
      <c r="AK32" s="27"/>
    </row>
    <row r="33" spans="1:37" ht="21.75" customHeight="1" x14ac:dyDescent="0.2">
      <c r="A33" s="35"/>
      <c r="B33" s="39"/>
      <c r="C33" s="37"/>
      <c r="D33" s="37"/>
      <c r="E33" s="37"/>
      <c r="F33" s="37"/>
      <c r="G33" s="38"/>
      <c r="H33" s="38"/>
      <c r="I33" s="38"/>
      <c r="J33" s="39"/>
      <c r="K33" s="38"/>
      <c r="L33" s="38"/>
      <c r="M33" s="39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9"/>
      <c r="AA33" s="39"/>
      <c r="AB33" s="38"/>
      <c r="AC33" s="37"/>
      <c r="AD33" s="39"/>
      <c r="AE33" s="40"/>
      <c r="AF33" s="40"/>
      <c r="AG33" s="40"/>
      <c r="AH33" s="40"/>
      <c r="AI33" s="27"/>
      <c r="AJ33" s="27"/>
      <c r="AK33" s="27"/>
    </row>
    <row r="34" spans="1:37" ht="21.75" customHeight="1" x14ac:dyDescent="0.2">
      <c r="A34" s="35">
        <v>5</v>
      </c>
      <c r="B34" s="36">
        <v>100</v>
      </c>
      <c r="C34" s="37" t="s">
        <v>163</v>
      </c>
      <c r="D34" s="37" t="s">
        <v>153</v>
      </c>
      <c r="E34" s="37" t="s">
        <v>164</v>
      </c>
      <c r="F34" s="37" t="s">
        <v>90</v>
      </c>
      <c r="G34" s="38">
        <f>$Y$32*B34/100</f>
        <v>1018.1828301301277</v>
      </c>
      <c r="H34" s="38">
        <f>IF(D34="Імпорт товарів кінцевого споживання",G34*$R$4/100,0)</f>
        <v>0</v>
      </c>
      <c r="I34" s="38">
        <f>IF(D34="Імпорт сировини й напівфабрикатів",G34*$R$5/100,0)</f>
        <v>0</v>
      </c>
      <c r="J34" s="39">
        <f>$D$5</f>
        <v>21.828816533088698</v>
      </c>
      <c r="K34" s="38">
        <f>G34*J34/100</f>
        <v>222.25726196051576</v>
      </c>
      <c r="L34" s="38">
        <f>G34+H34+I34+K34</f>
        <v>1240.4400920906435</v>
      </c>
      <c r="M34" s="39">
        <f>$AC$5</f>
        <v>25</v>
      </c>
      <c r="N34" s="38">
        <f>L34*M34/100</f>
        <v>310.11002302266087</v>
      </c>
      <c r="O34" s="38">
        <f>L34+N34</f>
        <v>1550.5501151133044</v>
      </c>
      <c r="P34" s="38">
        <f>IF(OR(E34="Оптова торгівля",E34="Імпорт + оптовий продаж"),O34*$R$6/100,0)</f>
        <v>0</v>
      </c>
      <c r="Q34" s="38">
        <f>IF(E34="Виробництво",O34*$R$7/100,0)</f>
        <v>0</v>
      </c>
      <c r="R34" s="38">
        <f>IF(E34="Роздрібна торгівля",O34*$R$8/100,0)</f>
        <v>69.774755180098694</v>
      </c>
      <c r="S34" s="38">
        <f>IF(E34="Експорт товарів і напівфабрикатів",O34*$X$4/100,0)</f>
        <v>0</v>
      </c>
      <c r="T34" s="38">
        <f>IF(E34="Експорт сировини",O34*$X$5/100,0)</f>
        <v>0</v>
      </c>
      <c r="U34" s="38">
        <f>O34+P34+Q34+R34+S34+T34</f>
        <v>1620.3248702934031</v>
      </c>
      <c r="V34" s="38">
        <f>N34</f>
        <v>310.11002302266087</v>
      </c>
      <c r="W34" s="38">
        <f>H34+I34+P34+Q34+R34+S34+T34</f>
        <v>69.774755180098694</v>
      </c>
      <c r="X34" s="38">
        <f>IF(OR(F34="Кінцеве споживання",F34="Експорт"),U34,0)</f>
        <v>1620.3248702934031</v>
      </c>
      <c r="Y34" s="38">
        <f>IF(F34="Перехід",U34,0)</f>
        <v>0</v>
      </c>
      <c r="Z34" s="39">
        <f>IF($D$8=0,0,SUM($X$11:X13,$X$16:X20,$X$23:X27,$X$30:X31,$X$34:X34)/$D$8*100-100)</f>
        <v>160.64226665373201</v>
      </c>
      <c r="AA34" s="39"/>
      <c r="AB34" s="38">
        <f>U34</f>
        <v>1620.3248702934031</v>
      </c>
      <c r="AC34" s="37" t="s">
        <v>98</v>
      </c>
      <c r="AD34" s="39">
        <f>IF($AB$41=0,0,AB34/$AB$41*100)</f>
        <v>13.225180354669067</v>
      </c>
      <c r="AE34" s="40"/>
      <c r="AF34" s="40"/>
      <c r="AG34" s="40"/>
      <c r="AH34" s="40"/>
      <c r="AI34" s="27"/>
      <c r="AJ34" s="27"/>
      <c r="AK34" s="27"/>
    </row>
    <row r="35" spans="1:37" ht="21.75" customHeight="1" x14ac:dyDescent="0.2">
      <c r="A35" s="35">
        <v>5</v>
      </c>
      <c r="B35" s="36">
        <v>0</v>
      </c>
      <c r="C35" s="37" t="s">
        <v>160</v>
      </c>
      <c r="D35" s="37" t="s">
        <v>153</v>
      </c>
      <c r="E35" s="37" t="s">
        <v>161</v>
      </c>
      <c r="F35" s="37" t="s">
        <v>75</v>
      </c>
      <c r="G35" s="38">
        <f>$Y$32*B35/100</f>
        <v>0</v>
      </c>
      <c r="H35" s="38">
        <f>IF(D35="Імпорт товарів кінцевого споживання",G35*$R$4/100,0)</f>
        <v>0</v>
      </c>
      <c r="I35" s="38">
        <f>IF(D35="Імпорт сировини й напівфабрикатів",G35*$R$5/100,0)</f>
        <v>0</v>
      </c>
      <c r="J35" s="39">
        <f>$D$5</f>
        <v>21.828816533088698</v>
      </c>
      <c r="K35" s="38">
        <f>G35*J35/100</f>
        <v>0</v>
      </c>
      <c r="L35" s="38">
        <f>G35+H35+I35+K35</f>
        <v>0</v>
      </c>
      <c r="M35" s="39">
        <f>$X$7</f>
        <v>11.3104239756686</v>
      </c>
      <c r="N35" s="38">
        <f>L35*M35/100</f>
        <v>0</v>
      </c>
      <c r="O35" s="38">
        <f>L35+N35</f>
        <v>0</v>
      </c>
      <c r="P35" s="38">
        <f>IF(OR(E35="Оптова торгівля",E35="Імпорт + оптовий продаж"),O35*$R$6/100,0)</f>
        <v>0</v>
      </c>
      <c r="Q35" s="38">
        <f>IF(E35="Виробництво",O35*$R$7/100,0)</f>
        <v>0</v>
      </c>
      <c r="R35" s="38">
        <f>IF(E35="Роздрібна торгівля",O35*$R$8/100,0)</f>
        <v>0</v>
      </c>
      <c r="S35" s="38">
        <f>IF(E35="Експорт товарів і напівфабрикатів",O35*$X$4/100,0)</f>
        <v>0</v>
      </c>
      <c r="T35" s="38">
        <f>IF(E35="Експорт сировини",O35*$X$5/100,0)</f>
        <v>0</v>
      </c>
      <c r="U35" s="38">
        <f>O35+P35+Q35+R35+S35+T35</f>
        <v>0</v>
      </c>
      <c r="V35" s="38">
        <f>N35</f>
        <v>0</v>
      </c>
      <c r="W35" s="38">
        <f>H35+I35+P35+Q35+R35+S35+T35</f>
        <v>0</v>
      </c>
      <c r="X35" s="38">
        <f>IF(OR(F35="Кінцеве споживання",F35="Експорт"),U35,0)</f>
        <v>0</v>
      </c>
      <c r="Y35" s="38">
        <f>IF(F35="Перехід",U35,0)</f>
        <v>0</v>
      </c>
      <c r="Z35" s="39">
        <f>IF($D$8=0,0,SUM($X$11:X13,$X$16:X20,$X$23:X27,$X$30:X31,$X$34:X35)/$D$8*100-100)</f>
        <v>160.64226665373201</v>
      </c>
      <c r="AA35" s="39"/>
      <c r="AB35" s="38">
        <f>U35</f>
        <v>0</v>
      </c>
      <c r="AC35" s="37" t="s">
        <v>162</v>
      </c>
      <c r="AD35" s="39">
        <f>IF($AB$41=0,0,AB35/$AB$41*100)</f>
        <v>0</v>
      </c>
      <c r="AE35" s="40"/>
      <c r="AF35" s="40"/>
      <c r="AG35" s="40"/>
      <c r="AH35" s="40"/>
      <c r="AI35" s="27"/>
      <c r="AJ35" s="27"/>
      <c r="AK35" s="27"/>
    </row>
    <row r="36" spans="1:37" ht="21.75" customHeight="1" x14ac:dyDescent="0.2">
      <c r="A36" s="41">
        <v>5</v>
      </c>
      <c r="B36" s="42">
        <f>SUM(B34:B35)</f>
        <v>100</v>
      </c>
      <c r="C36" s="43" t="s">
        <v>101</v>
      </c>
      <c r="D36" s="43" t="s">
        <v>85</v>
      </c>
      <c r="E36" s="43" t="s">
        <v>85</v>
      </c>
      <c r="F36" s="43" t="s">
        <v>85</v>
      </c>
      <c r="G36" s="44">
        <f>SUM(G34:G35)</f>
        <v>1018.1828301301277</v>
      </c>
      <c r="H36" s="44">
        <f>SUM(H34:H35)</f>
        <v>0</v>
      </c>
      <c r="I36" s="44">
        <f>SUM(I34:I35)</f>
        <v>0</v>
      </c>
      <c r="J36" s="42"/>
      <c r="K36" s="44">
        <f>SUM(K34:K35)</f>
        <v>222.25726196051576</v>
      </c>
      <c r="L36" s="44">
        <f>SUM(L34:L35)</f>
        <v>1240.4400920906435</v>
      </c>
      <c r="M36" s="42"/>
      <c r="N36" s="44">
        <f t="shared" ref="N36:Y36" si="4">SUM(N34:N35)</f>
        <v>310.11002302266087</v>
      </c>
      <c r="O36" s="44">
        <f t="shared" si="4"/>
        <v>1550.5501151133044</v>
      </c>
      <c r="P36" s="44">
        <f t="shared" si="4"/>
        <v>0</v>
      </c>
      <c r="Q36" s="44">
        <f t="shared" si="4"/>
        <v>0</v>
      </c>
      <c r="R36" s="44">
        <f t="shared" si="4"/>
        <v>69.774755180098694</v>
      </c>
      <c r="S36" s="44">
        <f t="shared" si="4"/>
        <v>0</v>
      </c>
      <c r="T36" s="44">
        <f t="shared" si="4"/>
        <v>0</v>
      </c>
      <c r="U36" s="44">
        <f t="shared" si="4"/>
        <v>1620.3248702934031</v>
      </c>
      <c r="V36" s="44">
        <f t="shared" si="4"/>
        <v>310.11002302266087</v>
      </c>
      <c r="W36" s="44">
        <f t="shared" si="4"/>
        <v>69.774755180098694</v>
      </c>
      <c r="X36" s="44">
        <f t="shared" si="4"/>
        <v>1620.3248702934031</v>
      </c>
      <c r="Y36" s="44">
        <f t="shared" si="4"/>
        <v>0</v>
      </c>
      <c r="Z36" s="42">
        <f>IF($D$8=0,0,SUM($X$11:X13,$X$16:X20,$X$23:X27,$X$30:X31,$X$34:X35)/$D$8*100-100)</f>
        <v>160.64226665373201</v>
      </c>
      <c r="AA36" s="42" t="str">
        <f>IF(ABS(SUM(B34:B35)-100)&lt;0.01,"ОК","ПОМИЛКА")</f>
        <v>ОК</v>
      </c>
      <c r="AB36" s="44">
        <f>SUM(AB34:AB35)</f>
        <v>1620.3248702934031</v>
      </c>
      <c r="AC36" s="43"/>
      <c r="AD36" s="42"/>
      <c r="AE36" s="40"/>
      <c r="AF36" s="40"/>
      <c r="AG36" s="40"/>
      <c r="AH36" s="40"/>
      <c r="AI36" s="27"/>
      <c r="AJ36" s="27"/>
      <c r="AK36" s="27"/>
    </row>
    <row r="37" spans="1:37" ht="21.75" customHeight="1" x14ac:dyDescent="0.2">
      <c r="A37" s="35"/>
      <c r="B37" s="39"/>
      <c r="C37" s="37"/>
      <c r="D37" s="37"/>
      <c r="E37" s="37"/>
      <c r="F37" s="37"/>
      <c r="G37" s="38"/>
      <c r="H37" s="38"/>
      <c r="I37" s="38"/>
      <c r="J37" s="39"/>
      <c r="K37" s="38"/>
      <c r="L37" s="38"/>
      <c r="M37" s="39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9"/>
      <c r="AA37" s="39"/>
      <c r="AB37" s="38"/>
      <c r="AC37" s="37"/>
      <c r="AD37" s="39"/>
      <c r="AE37" s="40"/>
      <c r="AF37" s="40"/>
      <c r="AG37" s="40"/>
      <c r="AH37" s="40"/>
      <c r="AI37" s="27"/>
      <c r="AJ37" s="27"/>
      <c r="AK37" s="27"/>
    </row>
    <row r="38" spans="1:37" ht="21.75" customHeight="1" x14ac:dyDescent="0.2">
      <c r="A38" s="35">
        <v>6</v>
      </c>
      <c r="B38" s="36">
        <v>100</v>
      </c>
      <c r="C38" s="37" t="s">
        <v>163</v>
      </c>
      <c r="D38" s="37" t="s">
        <v>153</v>
      </c>
      <c r="E38" s="37" t="s">
        <v>164</v>
      </c>
      <c r="F38" s="37" t="s">
        <v>90</v>
      </c>
      <c r="G38" s="38">
        <f>$Y$36*B38/100</f>
        <v>0</v>
      </c>
      <c r="H38" s="38">
        <f>IF(D38="Імпорт товарів кінцевого споживання",G38*$R$4/100,0)</f>
        <v>0</v>
      </c>
      <c r="I38" s="38">
        <f>IF(D38="Імпорт сировини й напівфабрикатів",G38*$R$5/100,0)</f>
        <v>0</v>
      </c>
      <c r="J38" s="39">
        <f>$D$5</f>
        <v>21.828816533088698</v>
      </c>
      <c r="K38" s="38">
        <f>G38*J38/100</f>
        <v>0</v>
      </c>
      <c r="L38" s="38">
        <f>G38+H38+I38+K38</f>
        <v>0</v>
      </c>
      <c r="M38" s="39">
        <f>$AC$5</f>
        <v>25</v>
      </c>
      <c r="N38" s="38">
        <f>L38*M38/100</f>
        <v>0</v>
      </c>
      <c r="O38" s="38">
        <f>L38+N38</f>
        <v>0</v>
      </c>
      <c r="P38" s="38">
        <f>IF(OR(E38="Оптова торгівля",E38="Імпорт + оптовий продаж"),O38*$R$6/100,0)</f>
        <v>0</v>
      </c>
      <c r="Q38" s="38">
        <f>IF(E38="Виробництво",O38*$R$7/100,0)</f>
        <v>0</v>
      </c>
      <c r="R38" s="38">
        <f>IF(E38="Роздрібна торгівля",O38*$R$8/100,0)</f>
        <v>0</v>
      </c>
      <c r="S38" s="38">
        <f>IF(E38="Експорт товарів і напівфабрикатів",O38*$X$4/100,0)</f>
        <v>0</v>
      </c>
      <c r="T38" s="38">
        <f>IF(E38="Експорт сировини",O38*$X$5/100,0)</f>
        <v>0</v>
      </c>
      <c r="U38" s="38">
        <f>O38+P38+Q38+R38+S38+T38</f>
        <v>0</v>
      </c>
      <c r="V38" s="38">
        <f>N38</f>
        <v>0</v>
      </c>
      <c r="W38" s="38">
        <f>H38+I38+P38+Q38+R38+S38+T38</f>
        <v>0</v>
      </c>
      <c r="X38" s="38">
        <f>IF(OR(F38="Кінцеве споживання",F38="Експорт"),U38,0)</f>
        <v>0</v>
      </c>
      <c r="Y38" s="38">
        <f>IF(F38="Перехід",U38,0)</f>
        <v>0</v>
      </c>
      <c r="Z38" s="39">
        <f>IF($D$8=0,0,SUM($X$11:X13,$X$16:X20,$X$23:X27,$X$30:X31,$X$34:X35,$X$38:X38)/$D$8*100-100)</f>
        <v>160.64226665373201</v>
      </c>
      <c r="AA38" s="39"/>
      <c r="AB38" s="38">
        <f>U38</f>
        <v>0</v>
      </c>
      <c r="AC38" s="37" t="s">
        <v>98</v>
      </c>
      <c r="AD38" s="39">
        <f>IF($AB$41=0,0,AB38/$AB$41*100)</f>
        <v>0</v>
      </c>
      <c r="AE38" s="40"/>
      <c r="AF38" s="40"/>
      <c r="AG38" s="40"/>
      <c r="AH38" s="40"/>
      <c r="AI38" s="27"/>
      <c r="AJ38" s="27"/>
      <c r="AK38" s="27"/>
    </row>
    <row r="39" spans="1:37" ht="21.75" customHeight="1" x14ac:dyDescent="0.2">
      <c r="A39" s="41">
        <v>6</v>
      </c>
      <c r="B39" s="42">
        <f>SUM(B38)</f>
        <v>100</v>
      </c>
      <c r="C39" s="43" t="s">
        <v>102</v>
      </c>
      <c r="D39" s="43" t="s">
        <v>85</v>
      </c>
      <c r="E39" s="43" t="s">
        <v>85</v>
      </c>
      <c r="F39" s="43" t="s">
        <v>85</v>
      </c>
      <c r="G39" s="44">
        <f>SUM(G38)</f>
        <v>0</v>
      </c>
      <c r="H39" s="44">
        <f>SUM(H38)</f>
        <v>0</v>
      </c>
      <c r="I39" s="44">
        <f>SUM(I38)</f>
        <v>0</v>
      </c>
      <c r="J39" s="42"/>
      <c r="K39" s="44">
        <f>SUM(K38)</f>
        <v>0</v>
      </c>
      <c r="L39" s="44">
        <f>SUM(L38)</f>
        <v>0</v>
      </c>
      <c r="M39" s="42"/>
      <c r="N39" s="44">
        <f t="shared" ref="N39:Y39" si="5">SUM(N38)</f>
        <v>0</v>
      </c>
      <c r="O39" s="44">
        <f t="shared" si="5"/>
        <v>0</v>
      </c>
      <c r="P39" s="44">
        <f t="shared" si="5"/>
        <v>0</v>
      </c>
      <c r="Q39" s="44">
        <f t="shared" si="5"/>
        <v>0</v>
      </c>
      <c r="R39" s="44">
        <f t="shared" si="5"/>
        <v>0</v>
      </c>
      <c r="S39" s="44">
        <f t="shared" si="5"/>
        <v>0</v>
      </c>
      <c r="T39" s="44">
        <f t="shared" si="5"/>
        <v>0</v>
      </c>
      <c r="U39" s="44">
        <f t="shared" si="5"/>
        <v>0</v>
      </c>
      <c r="V39" s="44">
        <f t="shared" si="5"/>
        <v>0</v>
      </c>
      <c r="W39" s="44">
        <f t="shared" si="5"/>
        <v>0</v>
      </c>
      <c r="X39" s="44">
        <f t="shared" si="5"/>
        <v>0</v>
      </c>
      <c r="Y39" s="44">
        <f t="shared" si="5"/>
        <v>0</v>
      </c>
      <c r="Z39" s="42">
        <f>IF($D$8=0,0,SUM($X$11:X13,$X$16:X20,$X$23:X27,$X$30:X31,$X$34:X35,$X$38:X38)/$D$8*100-100)</f>
        <v>160.64226665373201</v>
      </c>
      <c r="AA39" s="42" t="str">
        <f>IF(ABS(SUM(B38)-100)&lt;0.01,"ОК","ПОМИЛКА")</f>
        <v>ОК</v>
      </c>
      <c r="AB39" s="44">
        <f>SUM(AB38)</f>
        <v>0</v>
      </c>
      <c r="AC39" s="43"/>
      <c r="AD39" s="42"/>
      <c r="AE39" s="40"/>
      <c r="AF39" s="40"/>
      <c r="AG39" s="40"/>
      <c r="AH39" s="40"/>
      <c r="AI39" s="27"/>
      <c r="AJ39" s="27"/>
      <c r="AK39" s="27"/>
    </row>
    <row r="40" spans="1:37" ht="21.75" customHeight="1" x14ac:dyDescent="0.2">
      <c r="A40" s="35"/>
      <c r="B40" s="39"/>
      <c r="C40" s="37"/>
      <c r="D40" s="37"/>
      <c r="E40" s="37"/>
      <c r="F40" s="37"/>
      <c r="G40" s="38"/>
      <c r="H40" s="38"/>
      <c r="I40" s="38"/>
      <c r="J40" s="39"/>
      <c r="K40" s="38"/>
      <c r="L40" s="38"/>
      <c r="M40" s="39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9"/>
      <c r="AA40" s="39"/>
      <c r="AB40" s="38"/>
      <c r="AC40" s="37"/>
      <c r="AD40" s="39"/>
      <c r="AE40" s="40"/>
      <c r="AF40" s="40"/>
      <c r="AG40" s="40"/>
      <c r="AH40" s="40"/>
      <c r="AI40" s="27"/>
      <c r="AJ40" s="27"/>
      <c r="AK40" s="27"/>
    </row>
    <row r="41" spans="1:37" ht="21.75" customHeight="1" x14ac:dyDescent="0.2">
      <c r="A41" s="45"/>
      <c r="B41" s="46">
        <f>B14+B21+B28+B32+B36+B39</f>
        <v>600.00000000000023</v>
      </c>
      <c r="C41" s="47" t="s">
        <v>103</v>
      </c>
      <c r="D41" s="47"/>
      <c r="E41" s="47"/>
      <c r="F41" s="47" t="s">
        <v>85</v>
      </c>
      <c r="G41" s="48">
        <f>G14+G21+G28+G32+G36+G39</f>
        <v>9176.3529924234717</v>
      </c>
      <c r="H41" s="48">
        <f>H14+H21+H28+H32+H36+H39</f>
        <v>77.423817344645002</v>
      </c>
      <c r="I41" s="48">
        <f>I14+I21+I28+I32+I36+I39</f>
        <v>0</v>
      </c>
      <c r="J41" s="46"/>
      <c r="K41" s="48">
        <f>K14+K21+K28+K32+K36+K39</f>
        <v>2003.0892591447141</v>
      </c>
      <c r="L41" s="48">
        <f>L14+L21+L28+L32+L36+L39</f>
        <v>11256.86606891283</v>
      </c>
      <c r="M41" s="46"/>
      <c r="N41" s="48">
        <f t="shared" ref="N41:Y41" si="6">N14+N21+N28+N32+N36+N39</f>
        <v>632.81788092203396</v>
      </c>
      <c r="O41" s="48">
        <f t="shared" si="6"/>
        <v>11889.683949834867</v>
      </c>
      <c r="P41" s="48">
        <f t="shared" si="6"/>
        <v>140.17651473516912</v>
      </c>
      <c r="Q41" s="48">
        <f t="shared" si="6"/>
        <v>117.21446202939609</v>
      </c>
      <c r="R41" s="48">
        <f t="shared" si="6"/>
        <v>69.774755180098694</v>
      </c>
      <c r="S41" s="48">
        <f t="shared" si="6"/>
        <v>18.512010848227785</v>
      </c>
      <c r="T41" s="48">
        <f t="shared" si="6"/>
        <v>16.455120753980307</v>
      </c>
      <c r="U41" s="48">
        <f t="shared" si="6"/>
        <v>12251.816813381738</v>
      </c>
      <c r="V41" s="48">
        <f t="shared" si="6"/>
        <v>632.81788092203396</v>
      </c>
      <c r="W41" s="48">
        <f t="shared" si="6"/>
        <v>439.55668089151692</v>
      </c>
      <c r="X41" s="48">
        <f t="shared" si="6"/>
        <v>4989.9436680258559</v>
      </c>
      <c r="Y41" s="48">
        <f t="shared" si="6"/>
        <v>7261.8731453558803</v>
      </c>
      <c r="Z41" s="46">
        <f>IF($D$8=0,0,X41/$D$8*100-100)</f>
        <v>160.64226665373201</v>
      </c>
      <c r="AA41" s="46" t="str">
        <f>IF(AND(AA14="ОК",AA21="ОК",AA28="ОК",AA32="ОК",AA36="ОК",AA39="ОК"),"ОК","ПОМИЛКА")</f>
        <v>ОК</v>
      </c>
      <c r="AB41" s="48">
        <f>AB14+AB21+AB28+AB32+AB36+AB39</f>
        <v>12251.816813381738</v>
      </c>
      <c r="AC41" s="47"/>
      <c r="AD41" s="46">
        <f>SUM(AD11:AD40)</f>
        <v>99.999999999999986</v>
      </c>
      <c r="AE41" s="40"/>
      <c r="AF41" s="40"/>
      <c r="AG41" s="40"/>
      <c r="AH41" s="40"/>
      <c r="AI41" s="27"/>
      <c r="AJ41" s="27"/>
      <c r="AK41" s="27"/>
    </row>
    <row r="42" spans="1:37" s="49" customFormat="1" ht="14.25" customHeight="1" x14ac:dyDescent="0.2">
      <c r="A42" s="34"/>
      <c r="B42" s="40"/>
      <c r="C42" s="34"/>
      <c r="D42" s="34"/>
      <c r="E42" s="34"/>
      <c r="F42" s="34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34"/>
      <c r="AJ42" s="34"/>
      <c r="AK42" s="34"/>
    </row>
    <row r="43" spans="1:37" s="49" customFormat="1" ht="14.25" customHeight="1" x14ac:dyDescent="0.2">
      <c r="A43" s="34"/>
      <c r="B43" s="40"/>
      <c r="C43" s="34"/>
      <c r="D43" s="34"/>
      <c r="E43" s="34"/>
      <c r="F43" s="34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34"/>
      <c r="AJ43" s="34"/>
      <c r="AK43" s="34"/>
    </row>
    <row r="44" spans="1:37" s="49" customFormat="1" ht="14.25" customHeight="1" x14ac:dyDescent="0.2">
      <c r="A44" s="34"/>
      <c r="B44" s="40"/>
      <c r="C44" s="34"/>
      <c r="D44" s="34"/>
      <c r="E44" s="34"/>
      <c r="F44" s="34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34"/>
      <c r="AJ44" s="34"/>
      <c r="AK44" s="34"/>
    </row>
    <row r="45" spans="1:37" ht="14.25" customHeight="1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</row>
    <row r="46" spans="1:37" ht="14.25" customHeight="1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</row>
    <row r="47" spans="1:37" ht="14.25" customHeight="1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</row>
    <row r="48" spans="1:37" ht="14.25" customHeight="1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</row>
    <row r="49" spans="1:37" ht="14.25" customHeight="1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</row>
    <row r="50" spans="1:37" ht="14.25" customHeight="1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</row>
    <row r="51" spans="1:37" ht="14.25" customHeight="1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</row>
    <row r="52" spans="1:37" ht="14.25" customHeight="1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</row>
    <row r="53" spans="1:37" ht="14.25" customHeight="1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</row>
    <row r="54" spans="1:37" ht="14.25" customHeight="1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</row>
    <row r="55" spans="1:37" ht="14.25" customHeight="1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</row>
    <row r="56" spans="1:37" ht="14.25" customHeight="1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</row>
    <row r="57" spans="1:37" ht="14.25" customHeight="1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</row>
    <row r="58" spans="1:37" ht="14.25" customHeight="1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</row>
    <row r="59" spans="1:37" ht="14.25" customHeight="1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</row>
    <row r="60" spans="1:37" ht="14.25" customHeight="1" x14ac:dyDescent="0.2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</row>
    <row r="61" spans="1:37" ht="14.25" customHeight="1" x14ac:dyDescent="0.2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</row>
    <row r="62" spans="1:37" ht="14.25" customHeight="1" x14ac:dyDescent="0.2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</row>
    <row r="63" spans="1:37" ht="14.25" customHeight="1" x14ac:dyDescent="0.2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</row>
    <row r="64" spans="1:37" ht="14.25" customHeight="1" x14ac:dyDescent="0.2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</row>
    <row r="65" spans="1:37" ht="14.25" customHeight="1" x14ac:dyDescent="0.2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</row>
  </sheetData>
  <sheetProtection algorithmName="SHA-512" hashValue="dqA+FzO7qTQjAVnVvIluR0fWpE/hiiQaZAWlp+Af6zkKdYiMsaFmkmhC9wPJKf7NY8QjbjvclIUwNJRo3vbehA==" saltValue="fbT5dhhc3MNNwHASuMEwVw==" spinCount="100000" sheet="1" objects="1" scenarios="1"/>
  <mergeCells count="62">
    <mergeCell ref="S8:T8"/>
    <mergeCell ref="U8:W8"/>
    <mergeCell ref="Y8:Z8"/>
    <mergeCell ref="AA8:AB8"/>
    <mergeCell ref="AD8:AF8"/>
    <mergeCell ref="A8:C8"/>
    <mergeCell ref="E8:F8"/>
    <mergeCell ref="G8:I8"/>
    <mergeCell ref="K8:N8"/>
    <mergeCell ref="O8:Q8"/>
    <mergeCell ref="S7:T7"/>
    <mergeCell ref="U7:W7"/>
    <mergeCell ref="Y7:Z7"/>
    <mergeCell ref="AA7:AB7"/>
    <mergeCell ref="AD7:AF7"/>
    <mergeCell ref="A7:C7"/>
    <mergeCell ref="E7:F7"/>
    <mergeCell ref="G7:I7"/>
    <mergeCell ref="K7:N7"/>
    <mergeCell ref="O7:Q7"/>
    <mergeCell ref="S6:T6"/>
    <mergeCell ref="U6:W6"/>
    <mergeCell ref="Y6:Z6"/>
    <mergeCell ref="AA6:AB6"/>
    <mergeCell ref="AD6:AF6"/>
    <mergeCell ref="A6:C6"/>
    <mergeCell ref="E6:F6"/>
    <mergeCell ref="G6:I6"/>
    <mergeCell ref="K6:N6"/>
    <mergeCell ref="O6:Q6"/>
    <mergeCell ref="S5:T5"/>
    <mergeCell ref="U5:W5"/>
    <mergeCell ref="Y5:Z5"/>
    <mergeCell ref="AA5:AB5"/>
    <mergeCell ref="AD5:AF5"/>
    <mergeCell ref="A5:C5"/>
    <mergeCell ref="E5:F5"/>
    <mergeCell ref="G5:I5"/>
    <mergeCell ref="K5:N5"/>
    <mergeCell ref="O5:Q5"/>
    <mergeCell ref="S4:T4"/>
    <mergeCell ref="U4:W4"/>
    <mergeCell ref="Y4:Z4"/>
    <mergeCell ref="AA4:AB4"/>
    <mergeCell ref="AD4:AF4"/>
    <mergeCell ref="A4:C4"/>
    <mergeCell ref="E4:F4"/>
    <mergeCell ref="G4:I4"/>
    <mergeCell ref="K4:N4"/>
    <mergeCell ref="O4:Q4"/>
    <mergeCell ref="A1:AD1"/>
    <mergeCell ref="A2:AD2"/>
    <mergeCell ref="A3:C3"/>
    <mergeCell ref="E3:F3"/>
    <mergeCell ref="G3:I3"/>
    <mergeCell ref="K3:N3"/>
    <mergeCell ref="O3:Q3"/>
    <mergeCell ref="S3:T3"/>
    <mergeCell ref="U3:W3"/>
    <mergeCell ref="Y3:Z3"/>
    <mergeCell ref="AA3:AB3"/>
    <mergeCell ref="AD3:A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S65"/>
  <sheetViews>
    <sheetView workbookViewId="0">
      <pane ySplit="9" topLeftCell="A10" activePane="bottomLeft" state="frozen"/>
      <selection pane="bottomLeft" activeCell="G11" sqref="G11:G13"/>
    </sheetView>
  </sheetViews>
  <sheetFormatPr defaultColWidth="8.7109375" defaultRowHeight="15" x14ac:dyDescent="0.25"/>
  <cols>
    <col min="1" max="1" width="6.5703125" style="2" customWidth="1"/>
    <col min="2" max="2" width="14.5703125" style="2" customWidth="1"/>
    <col min="3" max="3" width="28" style="2" customWidth="1"/>
    <col min="4" max="4" width="18" style="2" customWidth="1"/>
    <col min="5" max="5" width="24" style="2" customWidth="1"/>
    <col min="6" max="6" width="16" style="2" customWidth="1"/>
    <col min="7" max="9" width="14" style="2" customWidth="1"/>
    <col min="10" max="10" width="12" style="2" customWidth="1"/>
    <col min="11" max="12" width="14" style="2" customWidth="1"/>
    <col min="13" max="14" width="12" style="2" customWidth="1"/>
    <col min="15" max="15" width="16" style="2" customWidth="1"/>
    <col min="16" max="28" width="14" style="2" customWidth="1"/>
    <col min="29" max="29" width="18" style="2" customWidth="1"/>
    <col min="30" max="30" width="14" style="2" customWidth="1"/>
    <col min="31" max="31" width="3" style="2" customWidth="1"/>
    <col min="32" max="32" width="38" style="2" customWidth="1"/>
    <col min="33" max="33" width="16" style="2" customWidth="1"/>
    <col min="34" max="34" width="14" style="2" customWidth="1"/>
    <col min="35" max="36" width="13" style="2" customWidth="1"/>
    <col min="37" max="37" width="12" style="2" customWidth="1"/>
  </cols>
  <sheetData>
    <row r="1" spans="1:45" ht="15.75" customHeight="1" x14ac:dyDescent="0.2">
      <c r="A1" s="140" t="s">
        <v>165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26"/>
      <c r="AF1" s="26"/>
      <c r="AG1" s="26"/>
      <c r="AH1" s="26"/>
      <c r="AI1" s="27"/>
      <c r="AJ1" s="27"/>
      <c r="AK1" s="27"/>
    </row>
    <row r="2" spans="1:45" ht="19.5" customHeight="1" x14ac:dyDescent="0.2">
      <c r="A2" s="128" t="s">
        <v>166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27"/>
      <c r="AF2" s="27"/>
      <c r="AG2" s="27"/>
      <c r="AH2" s="27"/>
      <c r="AI2" s="27"/>
      <c r="AJ2" s="27"/>
      <c r="AK2" s="27"/>
    </row>
    <row r="3" spans="1:45" ht="31.5" customHeight="1" x14ac:dyDescent="0.25">
      <c r="A3" s="141" t="s">
        <v>2</v>
      </c>
      <c r="B3" s="141"/>
      <c r="C3" s="141"/>
      <c r="D3" s="50" t="s">
        <v>3</v>
      </c>
      <c r="E3" s="142" t="s">
        <v>4</v>
      </c>
      <c r="F3" s="142"/>
      <c r="G3" s="141" t="s">
        <v>2</v>
      </c>
      <c r="H3" s="141"/>
      <c r="I3" s="141"/>
      <c r="J3" s="50" t="s">
        <v>3</v>
      </c>
      <c r="K3" s="142" t="s">
        <v>4</v>
      </c>
      <c r="L3" s="142"/>
      <c r="M3" s="142"/>
      <c r="N3" s="142"/>
      <c r="O3" s="141" t="s">
        <v>2</v>
      </c>
      <c r="P3" s="141"/>
      <c r="Q3" s="141"/>
      <c r="R3" s="50" t="s">
        <v>3</v>
      </c>
      <c r="S3" s="142" t="s">
        <v>4</v>
      </c>
      <c r="T3" s="142"/>
      <c r="U3" s="141" t="s">
        <v>2</v>
      </c>
      <c r="V3" s="141"/>
      <c r="W3" s="141"/>
      <c r="X3" s="50" t="s">
        <v>3</v>
      </c>
      <c r="Y3" s="142" t="s">
        <v>4</v>
      </c>
      <c r="Z3" s="142"/>
      <c r="AA3" s="141" t="s">
        <v>2</v>
      </c>
      <c r="AB3" s="141"/>
      <c r="AC3" s="50" t="s">
        <v>3</v>
      </c>
      <c r="AD3" s="142" t="s">
        <v>4</v>
      </c>
      <c r="AE3" s="142"/>
      <c r="AF3" s="142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</row>
    <row r="4" spans="1:45" ht="31.5" customHeight="1" x14ac:dyDescent="0.25">
      <c r="A4" s="134" t="s">
        <v>24</v>
      </c>
      <c r="B4" s="134"/>
      <c r="C4" s="134"/>
      <c r="D4" s="29">
        <v>2003.0892358809399</v>
      </c>
      <c r="E4" s="135" t="s">
        <v>106</v>
      </c>
      <c r="F4" s="135"/>
      <c r="G4" s="134" t="s">
        <v>107</v>
      </c>
      <c r="H4" s="134"/>
      <c r="I4" s="134"/>
      <c r="J4" s="29">
        <v>25</v>
      </c>
      <c r="K4" s="135" t="s">
        <v>22</v>
      </c>
      <c r="L4" s="135"/>
      <c r="M4" s="135"/>
      <c r="N4" s="135"/>
      <c r="O4" s="134" t="s">
        <v>108</v>
      </c>
      <c r="P4" s="134"/>
      <c r="Q4" s="134"/>
      <c r="R4" s="29">
        <v>30</v>
      </c>
      <c r="S4" s="135" t="s">
        <v>167</v>
      </c>
      <c r="T4" s="135"/>
      <c r="U4" s="134" t="s">
        <v>110</v>
      </c>
      <c r="V4" s="134"/>
      <c r="W4" s="134"/>
      <c r="X4" s="29">
        <v>1.5</v>
      </c>
      <c r="Y4" s="135" t="s">
        <v>168</v>
      </c>
      <c r="Z4" s="135"/>
      <c r="AA4" s="134" t="s">
        <v>17</v>
      </c>
      <c r="AB4" s="134"/>
      <c r="AC4" s="29">
        <f>'Модель 1-1'!$M$5</f>
        <v>1</v>
      </c>
      <c r="AD4" s="135" t="s">
        <v>111</v>
      </c>
      <c r="AE4" s="135"/>
      <c r="AF4" s="135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</row>
    <row r="5" spans="1:45" ht="31.5" customHeight="1" x14ac:dyDescent="0.25">
      <c r="A5" s="134" t="s">
        <v>112</v>
      </c>
      <c r="B5" s="134"/>
      <c r="C5" s="134"/>
      <c r="D5" s="29">
        <v>21.647908091545101</v>
      </c>
      <c r="E5" s="135" t="s">
        <v>169</v>
      </c>
      <c r="F5" s="135"/>
      <c r="G5" s="134" t="s">
        <v>114</v>
      </c>
      <c r="H5" s="134"/>
      <c r="I5" s="134"/>
      <c r="J5" s="29">
        <v>75</v>
      </c>
      <c r="K5" s="135" t="s">
        <v>22</v>
      </c>
      <c r="L5" s="135"/>
      <c r="M5" s="135"/>
      <c r="N5" s="135"/>
      <c r="O5" s="134" t="s">
        <v>115</v>
      </c>
      <c r="P5" s="134"/>
      <c r="Q5" s="134"/>
      <c r="R5" s="29">
        <v>0</v>
      </c>
      <c r="S5" s="135" t="s">
        <v>170</v>
      </c>
      <c r="T5" s="135"/>
      <c r="U5" s="134" t="s">
        <v>116</v>
      </c>
      <c r="V5" s="134"/>
      <c r="W5" s="134"/>
      <c r="X5" s="29">
        <v>4</v>
      </c>
      <c r="Y5" s="135" t="s">
        <v>168</v>
      </c>
      <c r="Z5" s="135"/>
      <c r="AA5" s="134" t="s">
        <v>171</v>
      </c>
      <c r="AB5" s="134"/>
      <c r="AC5" s="29">
        <f>'Модель 1-1'!$M$6</f>
        <v>25</v>
      </c>
      <c r="AD5" s="135" t="s">
        <v>111</v>
      </c>
      <c r="AE5" s="135"/>
      <c r="AF5" s="135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</row>
    <row r="6" spans="1:45" ht="31.5" customHeight="1" x14ac:dyDescent="0.25">
      <c r="A6" s="134" t="s">
        <v>34</v>
      </c>
      <c r="B6" s="134"/>
      <c r="C6" s="134"/>
      <c r="D6" s="29">
        <v>1238.78107751432</v>
      </c>
      <c r="E6" s="135" t="s">
        <v>117</v>
      </c>
      <c r="F6" s="135"/>
      <c r="G6" s="134" t="s">
        <v>118</v>
      </c>
      <c r="H6" s="134"/>
      <c r="I6" s="134"/>
      <c r="J6" s="29">
        <v>75</v>
      </c>
      <c r="K6" s="135" t="s">
        <v>119</v>
      </c>
      <c r="L6" s="135"/>
      <c r="M6" s="135"/>
      <c r="N6" s="135"/>
      <c r="O6" s="134" t="s">
        <v>120</v>
      </c>
      <c r="P6" s="134"/>
      <c r="Q6" s="134"/>
      <c r="R6" s="29">
        <v>3.9</v>
      </c>
      <c r="S6" s="135" t="s">
        <v>167</v>
      </c>
      <c r="T6" s="135"/>
      <c r="U6" s="134" t="s">
        <v>28</v>
      </c>
      <c r="V6" s="134"/>
      <c r="W6" s="134"/>
      <c r="X6" s="29">
        <f>'Модель 1-1'!$H$7</f>
        <v>1</v>
      </c>
      <c r="Y6" s="135" t="s">
        <v>111</v>
      </c>
      <c r="Z6" s="135"/>
      <c r="AA6" s="134" t="s">
        <v>121</v>
      </c>
      <c r="AB6" s="134"/>
      <c r="AC6" s="29">
        <f>'Модель 1-1'!$Z$44</f>
        <v>516.70000000002824</v>
      </c>
      <c r="AD6" s="135" t="s">
        <v>122</v>
      </c>
      <c r="AE6" s="135"/>
      <c r="AF6" s="135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</row>
    <row r="7" spans="1:45" ht="31.5" customHeight="1" x14ac:dyDescent="0.25">
      <c r="A7" s="134" t="s">
        <v>7</v>
      </c>
      <c r="B7" s="134"/>
      <c r="C7" s="134"/>
      <c r="D7" s="29">
        <v>675.69876955326504</v>
      </c>
      <c r="E7" s="135" t="s">
        <v>123</v>
      </c>
      <c r="F7" s="135"/>
      <c r="G7" s="134" t="s">
        <v>124</v>
      </c>
      <c r="H7" s="134"/>
      <c r="I7" s="134"/>
      <c r="J7" s="29">
        <v>25</v>
      </c>
      <c r="K7" s="135" t="s">
        <v>119</v>
      </c>
      <c r="L7" s="135"/>
      <c r="M7" s="135"/>
      <c r="N7" s="135"/>
      <c r="O7" s="134" t="s">
        <v>125</v>
      </c>
      <c r="P7" s="134"/>
      <c r="Q7" s="134"/>
      <c r="R7" s="29">
        <v>2.8</v>
      </c>
      <c r="S7" s="135" t="s">
        <v>167</v>
      </c>
      <c r="T7" s="135"/>
      <c r="U7" s="134" t="s">
        <v>36</v>
      </c>
      <c r="V7" s="134"/>
      <c r="W7" s="134"/>
      <c r="X7" s="30">
        <f>'Модель 1-1'!$H$8</f>
        <v>11.3104239756686</v>
      </c>
      <c r="Y7" s="135" t="s">
        <v>111</v>
      </c>
      <c r="Z7" s="135"/>
      <c r="AA7" s="134" t="s">
        <v>126</v>
      </c>
      <c r="AB7" s="134"/>
      <c r="AC7" s="29">
        <f>W41</f>
        <v>519.96019069090858</v>
      </c>
      <c r="AD7" s="135" t="s">
        <v>172</v>
      </c>
      <c r="AE7" s="135"/>
      <c r="AF7" s="135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</row>
    <row r="8" spans="1:45" ht="31.5" customHeight="1" x14ac:dyDescent="0.25">
      <c r="A8" s="138" t="s">
        <v>15</v>
      </c>
      <c r="B8" s="138"/>
      <c r="C8" s="138"/>
      <c r="D8" s="31">
        <f>D6+D7</f>
        <v>1914.4798470675851</v>
      </c>
      <c r="E8" s="139" t="s">
        <v>16</v>
      </c>
      <c r="F8" s="139"/>
      <c r="G8" s="138" t="s">
        <v>128</v>
      </c>
      <c r="H8" s="138"/>
      <c r="I8" s="138"/>
      <c r="J8" s="31">
        <f>J4+J5</f>
        <v>100</v>
      </c>
      <c r="K8" s="139" t="s">
        <v>129</v>
      </c>
      <c r="L8" s="139"/>
      <c r="M8" s="139"/>
      <c r="N8" s="139"/>
      <c r="O8" s="138" t="s">
        <v>130</v>
      </c>
      <c r="P8" s="138"/>
      <c r="Q8" s="138"/>
      <c r="R8" s="31">
        <v>6.5</v>
      </c>
      <c r="S8" s="139" t="s">
        <v>167</v>
      </c>
      <c r="T8" s="139"/>
      <c r="U8" s="138" t="s">
        <v>9</v>
      </c>
      <c r="V8" s="138"/>
      <c r="W8" s="138"/>
      <c r="X8" s="31">
        <f>'Модель 1-1'!$M$4</f>
        <v>1</v>
      </c>
      <c r="Y8" s="139" t="s">
        <v>111</v>
      </c>
      <c r="Z8" s="139"/>
      <c r="AA8" s="138" t="s">
        <v>131</v>
      </c>
      <c r="AB8" s="138"/>
      <c r="AC8" s="31" t="str">
        <f>IF(ABS(W41-AC7)&lt;0.01,"OK","Перевірити")</f>
        <v>OK</v>
      </c>
      <c r="AD8" s="139" t="s">
        <v>132</v>
      </c>
      <c r="AE8" s="139"/>
      <c r="AF8" s="139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</row>
    <row r="9" spans="1:45" ht="11.25" customHeight="1" x14ac:dyDescent="0.2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</row>
    <row r="10" spans="1:45" ht="31.5" customHeight="1" x14ac:dyDescent="0.2">
      <c r="A10" s="51" t="s">
        <v>40</v>
      </c>
      <c r="B10" s="51" t="s">
        <v>41</v>
      </c>
      <c r="C10" s="52" t="s">
        <v>42</v>
      </c>
      <c r="D10" s="52" t="s">
        <v>133</v>
      </c>
      <c r="E10" s="52" t="s">
        <v>134</v>
      </c>
      <c r="F10" s="52" t="s">
        <v>44</v>
      </c>
      <c r="G10" s="51" t="s">
        <v>135</v>
      </c>
      <c r="H10" s="51" t="s">
        <v>136</v>
      </c>
      <c r="I10" s="51" t="s">
        <v>137</v>
      </c>
      <c r="J10" s="51" t="s">
        <v>138</v>
      </c>
      <c r="K10" s="51" t="s">
        <v>53</v>
      </c>
      <c r="L10" s="51" t="s">
        <v>139</v>
      </c>
      <c r="M10" s="51" t="s">
        <v>54</v>
      </c>
      <c r="N10" s="51" t="s">
        <v>55</v>
      </c>
      <c r="O10" s="51" t="s">
        <v>140</v>
      </c>
      <c r="P10" s="51" t="s">
        <v>141</v>
      </c>
      <c r="Q10" s="51" t="s">
        <v>142</v>
      </c>
      <c r="R10" s="51" t="s">
        <v>143</v>
      </c>
      <c r="S10" s="51" t="s">
        <v>144</v>
      </c>
      <c r="T10" s="51" t="s">
        <v>145</v>
      </c>
      <c r="U10" s="51" t="s">
        <v>146</v>
      </c>
      <c r="V10" s="51" t="s">
        <v>63</v>
      </c>
      <c r="W10" s="51" t="s">
        <v>64</v>
      </c>
      <c r="X10" s="51" t="s">
        <v>65</v>
      </c>
      <c r="Y10" s="51" t="s">
        <v>147</v>
      </c>
      <c r="Z10" s="51" t="s">
        <v>69</v>
      </c>
      <c r="AA10" s="51" t="s">
        <v>68</v>
      </c>
      <c r="AB10" s="51" t="s">
        <v>70</v>
      </c>
      <c r="AC10" s="52" t="s">
        <v>71</v>
      </c>
      <c r="AD10" s="51" t="s">
        <v>72</v>
      </c>
      <c r="AE10" s="34"/>
      <c r="AF10" s="34"/>
      <c r="AG10" s="34"/>
      <c r="AH10" s="34"/>
      <c r="AI10" s="27"/>
      <c r="AJ10" s="27"/>
      <c r="AK10" s="27"/>
    </row>
    <row r="11" spans="1:45" ht="21.75" customHeight="1" x14ac:dyDescent="0.2">
      <c r="A11" s="35">
        <v>1</v>
      </c>
      <c r="B11" s="36">
        <v>16.176470588235301</v>
      </c>
      <c r="C11" s="37" t="s">
        <v>148</v>
      </c>
      <c r="D11" s="37" t="s">
        <v>149</v>
      </c>
      <c r="E11" s="37" t="s">
        <v>150</v>
      </c>
      <c r="F11" s="37" t="s">
        <v>75</v>
      </c>
      <c r="G11" s="38">
        <f>$D$6*$J$4/100</f>
        <v>309.69526937858001</v>
      </c>
      <c r="H11" s="38">
        <f>IF(D11="Імпорт товарів кінцевого споживання",G11*$R$4/100,0)</f>
        <v>92.908580813574005</v>
      </c>
      <c r="I11" s="38">
        <f>IF(D11="Імпорт сировини й напівфабрикатів",G11*$R$5/100,0)</f>
        <v>0</v>
      </c>
      <c r="J11" s="39">
        <f>$D$5</f>
        <v>21.647908091545101</v>
      </c>
      <c r="K11" s="38">
        <f>G11*J11/100</f>
        <v>67.042547278938017</v>
      </c>
      <c r="L11" s="38">
        <f>G11+H11+I11+K11</f>
        <v>469.64639747109203</v>
      </c>
      <c r="M11" s="39">
        <f>$X$6</f>
        <v>1</v>
      </c>
      <c r="N11" s="38">
        <f>L11*M11/100</f>
        <v>4.6964639747109205</v>
      </c>
      <c r="O11" s="38">
        <f>L11+N11</f>
        <v>474.34286144580295</v>
      </c>
      <c r="P11" s="38">
        <f>IF(OR(E11="Оптова торгівля",E11="Імпорт + оптовий продаж"),O11*$R$6/100,0)</f>
        <v>18.499371596386315</v>
      </c>
      <c r="Q11" s="38">
        <f>IF(E11="Виробництво",O11*$R$7/100,0)</f>
        <v>0</v>
      </c>
      <c r="R11" s="38">
        <f>IF(E11="Роздрібна торгівля",O11*$R$8/100,0)</f>
        <v>0</v>
      </c>
      <c r="S11" s="38">
        <f>IF(E11="Експорт товарів і напівфабрикатів",O11*$X$4/100,0)</f>
        <v>0</v>
      </c>
      <c r="T11" s="38">
        <f>IF(E11="Експорт сировини",O11*$X$5/100,0)</f>
        <v>0</v>
      </c>
      <c r="U11" s="38">
        <f>O11+P11+Q11+R11+S11+T11</f>
        <v>492.84223304218926</v>
      </c>
      <c r="V11" s="38">
        <f>N11</f>
        <v>4.6964639747109205</v>
      </c>
      <c r="W11" s="38">
        <f>H11+I11+P11+Q11+R11+S11+T11</f>
        <v>111.40795240996032</v>
      </c>
      <c r="X11" s="38">
        <f>IF(OR(F11="Кінцеве споживання",F11="Експорт"),U11,0)</f>
        <v>0</v>
      </c>
      <c r="Y11" s="38">
        <f>IF(F11="Перехід",U11,0)</f>
        <v>492.84223304218926</v>
      </c>
      <c r="Z11" s="39">
        <f>IF($D$8=0,0,SUM($X$11:X11)/$D$8*100-100)</f>
        <v>-100</v>
      </c>
      <c r="AA11" s="39"/>
      <c r="AB11" s="38">
        <f>U11</f>
        <v>492.84223304218926</v>
      </c>
      <c r="AC11" s="37" t="s">
        <v>77</v>
      </c>
      <c r="AD11" s="39">
        <f>IF($AB$41=0,0,AB11/$AB$41*100)</f>
        <v>3.9694855057255523</v>
      </c>
      <c r="AE11" s="40"/>
      <c r="AF11" s="40"/>
      <c r="AG11" s="40"/>
      <c r="AH11" s="40"/>
      <c r="AI11" s="27"/>
      <c r="AJ11" s="27"/>
      <c r="AK11" s="27"/>
    </row>
    <row r="12" spans="1:45" ht="21.75" customHeight="1" x14ac:dyDescent="0.2">
      <c r="A12" s="35">
        <v>1</v>
      </c>
      <c r="B12" s="36">
        <v>48.529411764705898</v>
      </c>
      <c r="C12" s="37" t="s">
        <v>78</v>
      </c>
      <c r="D12" s="37" t="s">
        <v>151</v>
      </c>
      <c r="E12" s="37" t="s">
        <v>150</v>
      </c>
      <c r="F12" s="37" t="s">
        <v>75</v>
      </c>
      <c r="G12" s="38">
        <f>$D$6*$J$5/100</f>
        <v>929.08580813574008</v>
      </c>
      <c r="H12" s="38">
        <f>IF(D12="Імпорт товарів кінцевого споживання",G12*$R$4/100,0)</f>
        <v>0</v>
      </c>
      <c r="I12" s="38">
        <f>IF(D12="Імпорт сировини й напівфабрикатів",G12*$R$5/100,0)</f>
        <v>0</v>
      </c>
      <c r="J12" s="39">
        <f>$D$5</f>
        <v>21.647908091545101</v>
      </c>
      <c r="K12" s="38">
        <f>G12*J12/100</f>
        <v>201.12764183681406</v>
      </c>
      <c r="L12" s="38">
        <f>G12+H12+I12+K12</f>
        <v>1130.2134499725541</v>
      </c>
      <c r="M12" s="39">
        <f>$X$6</f>
        <v>1</v>
      </c>
      <c r="N12" s="38">
        <f>L12*M12/100</f>
        <v>11.302134499725542</v>
      </c>
      <c r="O12" s="38">
        <f>L12+N12</f>
        <v>1141.5155844722797</v>
      </c>
      <c r="P12" s="38">
        <f>IF(OR(E12="Оптова торгівля",E12="Імпорт + оптовий продаж"),O12*$R$6/100,0)</f>
        <v>44.519107794418908</v>
      </c>
      <c r="Q12" s="38">
        <f>IF(E12="Виробництво",O12*$R$7/100,0)</f>
        <v>0</v>
      </c>
      <c r="R12" s="38">
        <f>IF(E12="Роздрібна торгівля",O12*$R$8/100,0)</f>
        <v>0</v>
      </c>
      <c r="S12" s="38">
        <f>IF(E12="Експорт товарів і напівфабрикатів",O12*$X$4/100,0)</f>
        <v>0</v>
      </c>
      <c r="T12" s="38">
        <f>IF(E12="Експорт сировини",O12*$X$5/100,0)</f>
        <v>0</v>
      </c>
      <c r="U12" s="38">
        <f>O12+P12+Q12+R12+S12+T12</f>
        <v>1186.0346922666986</v>
      </c>
      <c r="V12" s="38">
        <f>N12</f>
        <v>11.302134499725542</v>
      </c>
      <c r="W12" s="38">
        <f>H12+I12+P12+Q12+R12+S12+T12</f>
        <v>44.519107794418908</v>
      </c>
      <c r="X12" s="38">
        <f>IF(OR(F12="Кінцеве споживання",F12="Експорт"),U12,0)</f>
        <v>0</v>
      </c>
      <c r="Y12" s="38">
        <f>IF(F12="Перехід",U12,0)</f>
        <v>1186.0346922666986</v>
      </c>
      <c r="Z12" s="39">
        <f>IF($D$8=0,0,SUM($X$11:X12)/$D$8*100-100)</f>
        <v>-100</v>
      </c>
      <c r="AA12" s="39"/>
      <c r="AB12" s="38">
        <f>U12</f>
        <v>1186.0346922666986</v>
      </c>
      <c r="AC12" s="37" t="s">
        <v>77</v>
      </c>
      <c r="AD12" s="39">
        <f>IF($AB$41=0,0,AB12/$AB$41*100)</f>
        <v>9.5526462721738916</v>
      </c>
      <c r="AE12" s="40"/>
      <c r="AF12" s="40"/>
      <c r="AG12" s="40"/>
      <c r="AH12" s="40"/>
      <c r="AI12" s="27"/>
      <c r="AJ12" s="27"/>
      <c r="AK12" s="27"/>
    </row>
    <row r="13" spans="1:45" ht="21.75" customHeight="1" x14ac:dyDescent="0.2">
      <c r="A13" s="35">
        <v>1</v>
      </c>
      <c r="B13" s="36">
        <v>35.294117647058798</v>
      </c>
      <c r="C13" s="37" t="s">
        <v>152</v>
      </c>
      <c r="D13" s="37" t="s">
        <v>153</v>
      </c>
      <c r="E13" s="37" t="s">
        <v>83</v>
      </c>
      <c r="F13" s="37" t="s">
        <v>75</v>
      </c>
      <c r="G13" s="38">
        <f>$D$7</f>
        <v>675.69876955326504</v>
      </c>
      <c r="H13" s="38">
        <f>IF(D13="Імпорт товарів кінцевого споживання",G13*$R$4/100,0)</f>
        <v>0</v>
      </c>
      <c r="I13" s="38">
        <f>IF(D13="Імпорт сировини й напівфабрикатів",G13*$R$5/100,0)</f>
        <v>0</v>
      </c>
      <c r="J13" s="39">
        <f>$D$5</f>
        <v>21.647908091545101</v>
      </c>
      <c r="K13" s="38">
        <f>G13*J13/100</f>
        <v>146.27464860859195</v>
      </c>
      <c r="L13" s="38">
        <f>G13+H13+I13+K13</f>
        <v>821.97341816185701</v>
      </c>
      <c r="M13" s="39">
        <f>$X$8</f>
        <v>1</v>
      </c>
      <c r="N13" s="38">
        <f>L13*M13/100</f>
        <v>8.2197341816185698</v>
      </c>
      <c r="O13" s="38">
        <f>L13+N13</f>
        <v>830.19315234347562</v>
      </c>
      <c r="P13" s="38">
        <f>IF(OR(E13="Оптова торгівля",E13="Імпорт + оптовий продаж"),O13*$R$6/100,0)</f>
        <v>0</v>
      </c>
      <c r="Q13" s="38">
        <f>IF(E13="Виробництво",O13*$R$7/100,0)</f>
        <v>23.245408265617314</v>
      </c>
      <c r="R13" s="38">
        <f>IF(E13="Роздрібна торгівля",O13*$R$8/100,0)</f>
        <v>0</v>
      </c>
      <c r="S13" s="38">
        <f>IF(E13="Експорт товарів і напівфабрикатів",O13*$X$4/100,0)</f>
        <v>0</v>
      </c>
      <c r="T13" s="38">
        <f>IF(E13="Експорт сировини",O13*$X$5/100,0)</f>
        <v>0</v>
      </c>
      <c r="U13" s="38">
        <f>O13+P13+Q13+R13+S13+T13</f>
        <v>853.43856060909297</v>
      </c>
      <c r="V13" s="38">
        <f>N13</f>
        <v>8.2197341816185698</v>
      </c>
      <c r="W13" s="38">
        <f>H13+I13+P13+Q13+R13+S13+T13</f>
        <v>23.245408265617314</v>
      </c>
      <c r="X13" s="38">
        <f>IF(OR(F13="Кінцеве споживання",F13="Експорт"),U13,0)</f>
        <v>0</v>
      </c>
      <c r="Y13" s="38">
        <f>IF(F13="Перехід",U13,0)</f>
        <v>853.43856060909297</v>
      </c>
      <c r="Z13" s="39">
        <f>IF($D$8=0,0,SUM($X$11:X13)/$D$8*100-100)</f>
        <v>-100</v>
      </c>
      <c r="AA13" s="39"/>
      <c r="AB13" s="38">
        <f>U13</f>
        <v>853.43856060909297</v>
      </c>
      <c r="AC13" s="37" t="s">
        <v>83</v>
      </c>
      <c r="AD13" s="39">
        <f>IF($AB$41=0,0,AB13/$AB$41*100)</f>
        <v>6.8738264889629921</v>
      </c>
      <c r="AE13" s="40"/>
      <c r="AF13" s="40"/>
      <c r="AG13" s="40"/>
      <c r="AH13" s="40"/>
      <c r="AI13" s="27"/>
      <c r="AJ13" s="27"/>
      <c r="AK13" s="27"/>
    </row>
    <row r="14" spans="1:45" ht="21.75" customHeight="1" x14ac:dyDescent="0.2">
      <c r="A14" s="41">
        <v>1</v>
      </c>
      <c r="B14" s="42">
        <f>SUM(B11:B13)</f>
        <v>100</v>
      </c>
      <c r="C14" s="43" t="s">
        <v>84</v>
      </c>
      <c r="D14" s="43" t="s">
        <v>85</v>
      </c>
      <c r="E14" s="43" t="s">
        <v>85</v>
      </c>
      <c r="F14" s="43" t="s">
        <v>85</v>
      </c>
      <c r="G14" s="44">
        <f>SUM(G11:G13)</f>
        <v>1914.4798470675851</v>
      </c>
      <c r="H14" s="44">
        <f>SUM(H11:H13)</f>
        <v>92.908580813574005</v>
      </c>
      <c r="I14" s="44">
        <f>SUM(I11:I13)</f>
        <v>0</v>
      </c>
      <c r="J14" s="42"/>
      <c r="K14" s="44">
        <f>SUM(K11:K13)</f>
        <v>414.44483772434398</v>
      </c>
      <c r="L14" s="44">
        <f>SUM(L11:L13)</f>
        <v>2421.8332656055031</v>
      </c>
      <c r="M14" s="42"/>
      <c r="N14" s="44">
        <f t="shared" ref="N14:Y14" si="0">SUM(N11:N13)</f>
        <v>24.218332656055033</v>
      </c>
      <c r="O14" s="44">
        <f t="shared" si="0"/>
        <v>2446.0515982615584</v>
      </c>
      <c r="P14" s="44">
        <f t="shared" si="0"/>
        <v>63.018479390805226</v>
      </c>
      <c r="Q14" s="44">
        <f t="shared" si="0"/>
        <v>23.245408265617314</v>
      </c>
      <c r="R14" s="44">
        <f t="shared" si="0"/>
        <v>0</v>
      </c>
      <c r="S14" s="44">
        <f t="shared" si="0"/>
        <v>0</v>
      </c>
      <c r="T14" s="44">
        <f t="shared" si="0"/>
        <v>0</v>
      </c>
      <c r="U14" s="44">
        <f t="shared" si="0"/>
        <v>2532.3154859179808</v>
      </c>
      <c r="V14" s="44">
        <f t="shared" si="0"/>
        <v>24.218332656055033</v>
      </c>
      <c r="W14" s="44">
        <f t="shared" si="0"/>
        <v>179.17246846999655</v>
      </c>
      <c r="X14" s="44">
        <f t="shared" si="0"/>
        <v>0</v>
      </c>
      <c r="Y14" s="44">
        <f t="shared" si="0"/>
        <v>2532.3154859179808</v>
      </c>
      <c r="Z14" s="42">
        <f>IF($D$8=0,0,SUM($X$11:X13)/$D$8*100-100)</f>
        <v>-100</v>
      </c>
      <c r="AA14" s="42" t="str">
        <f>IF(ABS(SUM(B11:B13)-100)&lt;0.01,"ОК","ПОМИЛКА")</f>
        <v>ОК</v>
      </c>
      <c r="AB14" s="44">
        <f>SUM(AB11:AB13)</f>
        <v>2532.3154859179808</v>
      </c>
      <c r="AC14" s="43"/>
      <c r="AD14" s="42"/>
      <c r="AE14" s="40"/>
      <c r="AF14" s="40"/>
      <c r="AG14" s="40"/>
      <c r="AH14" s="40"/>
      <c r="AI14" s="27"/>
      <c r="AJ14" s="27"/>
      <c r="AK14" s="27"/>
    </row>
    <row r="15" spans="1:45" ht="21.75" customHeight="1" x14ac:dyDescent="0.2">
      <c r="A15" s="35"/>
      <c r="B15" s="39"/>
      <c r="C15" s="37"/>
      <c r="D15" s="37"/>
      <c r="E15" s="37"/>
      <c r="F15" s="37"/>
      <c r="G15" s="38"/>
      <c r="H15" s="38"/>
      <c r="I15" s="38"/>
      <c r="J15" s="39"/>
      <c r="K15" s="38"/>
      <c r="L15" s="38"/>
      <c r="M15" s="39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9"/>
      <c r="AA15" s="39"/>
      <c r="AB15" s="38"/>
      <c r="AC15" s="37"/>
      <c r="AD15" s="39"/>
      <c r="AE15" s="40"/>
      <c r="AF15" s="40"/>
      <c r="AG15" s="40"/>
      <c r="AH15" s="40"/>
      <c r="AI15" s="27"/>
      <c r="AJ15" s="27"/>
      <c r="AK15" s="27"/>
    </row>
    <row r="16" spans="1:45" ht="21.75" customHeight="1" x14ac:dyDescent="0.2">
      <c r="A16" s="35">
        <v>2</v>
      </c>
      <c r="B16" s="36">
        <v>3.72862716414968</v>
      </c>
      <c r="C16" s="37" t="s">
        <v>154</v>
      </c>
      <c r="D16" s="37" t="s">
        <v>153</v>
      </c>
      <c r="E16" s="37" t="s">
        <v>155</v>
      </c>
      <c r="F16" s="37" t="s">
        <v>87</v>
      </c>
      <c r="G16" s="38">
        <f>$Y$14*B16/100</f>
        <v>94.420603089906805</v>
      </c>
      <c r="H16" s="38">
        <f>IF(D16="Імпорт товарів кінцевого споживання",G16*$R$4/100,0)</f>
        <v>0</v>
      </c>
      <c r="I16" s="38">
        <f>IF(D16="Імпорт сировини й напівфабрикатів",G16*$R$5/100,0)</f>
        <v>0</v>
      </c>
      <c r="J16" s="39">
        <f>$D$5</f>
        <v>21.647908091545101</v>
      </c>
      <c r="K16" s="38">
        <f>G16*J16/100</f>
        <v>20.440085376385618</v>
      </c>
      <c r="L16" s="38">
        <f>G16+H16+I16+K16</f>
        <v>114.86068846629243</v>
      </c>
      <c r="M16" s="39">
        <f>$AC$4</f>
        <v>1</v>
      </c>
      <c r="N16" s="38">
        <f>L16*M16/100</f>
        <v>1.1486068846629243</v>
      </c>
      <c r="O16" s="38">
        <f>L16+N16</f>
        <v>116.00929535095536</v>
      </c>
      <c r="P16" s="38">
        <f>IF(OR(E16="Оптова торгівля",E16="Імпорт + оптовий продаж"),O16*$R$6/100,0)</f>
        <v>0</v>
      </c>
      <c r="Q16" s="38">
        <f>IF(E16="Виробництво",O16*$R$7/100,0)</f>
        <v>0</v>
      </c>
      <c r="R16" s="38">
        <f>IF(E16="Роздрібна торгівля",O16*$R$8/100,0)</f>
        <v>0</v>
      </c>
      <c r="S16" s="38">
        <f>IF(E16="Експорт товарів і напівфабрикатів",O16*$X$4/100,0)</f>
        <v>1.7401394302643303</v>
      </c>
      <c r="T16" s="38">
        <f>IF(E16="Експорт сировини",O16*$X$5/100,0)</f>
        <v>0</v>
      </c>
      <c r="U16" s="38">
        <f>O16+P16+Q16+R16+S16+T16</f>
        <v>117.74943478121969</v>
      </c>
      <c r="V16" s="38">
        <f>N16</f>
        <v>1.1486068846629243</v>
      </c>
      <c r="W16" s="38">
        <f>H16+I16+P16+Q16+R16+S16+T16</f>
        <v>1.7401394302643303</v>
      </c>
      <c r="X16" s="38">
        <f>IF(OR(F16="Кінцеве споживання",F16="Експорт"),U16,0)</f>
        <v>117.74943478121969</v>
      </c>
      <c r="Y16" s="38">
        <f>IF(F16="Перехід",U16,0)</f>
        <v>0</v>
      </c>
      <c r="Z16" s="39">
        <f>IF($D$8=0,0,SUM($X$11:X13,$X$16:X16)/$D$8*100-100)</f>
        <v>-93.849533858422333</v>
      </c>
      <c r="AA16" s="39"/>
      <c r="AB16" s="38">
        <f>U16</f>
        <v>117.74943478121969</v>
      </c>
      <c r="AC16" s="37" t="s">
        <v>87</v>
      </c>
      <c r="AD16" s="39">
        <f>IF($AB$41=0,0,AB16/$AB$41*100)</f>
        <v>0.94838600130970518</v>
      </c>
      <c r="AE16" s="40"/>
      <c r="AF16" s="40"/>
      <c r="AG16" s="40"/>
      <c r="AH16" s="40"/>
      <c r="AI16" s="27"/>
      <c r="AJ16" s="27"/>
      <c r="AK16" s="27"/>
    </row>
    <row r="17" spans="1:37" ht="21.75" customHeight="1" x14ac:dyDescent="0.2">
      <c r="A17" s="35">
        <v>2</v>
      </c>
      <c r="B17" s="36">
        <v>1.24287572138323</v>
      </c>
      <c r="C17" s="37" t="s">
        <v>156</v>
      </c>
      <c r="D17" s="37" t="s">
        <v>153</v>
      </c>
      <c r="E17" s="37" t="s">
        <v>157</v>
      </c>
      <c r="F17" s="37" t="s">
        <v>87</v>
      </c>
      <c r="G17" s="38">
        <f>$Y$14*B17/100</f>
        <v>31.473534363302353</v>
      </c>
      <c r="H17" s="38">
        <f>IF(D17="Імпорт товарів кінцевого споживання",G17*$R$4/100,0)</f>
        <v>0</v>
      </c>
      <c r="I17" s="38">
        <f>IF(D17="Імпорт сировини й напівфабрикатів",G17*$R$5/100,0)</f>
        <v>0</v>
      </c>
      <c r="J17" s="39">
        <f>$D$5</f>
        <v>21.647908091545101</v>
      </c>
      <c r="K17" s="38">
        <f>G17*J17/100</f>
        <v>6.8133617921285579</v>
      </c>
      <c r="L17" s="38">
        <f>G17+H17+I17+K17</f>
        <v>38.28689615543091</v>
      </c>
      <c r="M17" s="39">
        <f>$AC$4</f>
        <v>1</v>
      </c>
      <c r="N17" s="38">
        <f>L17*M17/100</f>
        <v>0.38286896155430911</v>
      </c>
      <c r="O17" s="38">
        <f>L17+N17</f>
        <v>38.669765116985218</v>
      </c>
      <c r="P17" s="38">
        <f>IF(OR(E17="Оптова торгівля",E17="Імпорт + оптовий продаж"),O17*$R$6/100,0)</f>
        <v>0</v>
      </c>
      <c r="Q17" s="38">
        <f>IF(E17="Виробництво",O17*$R$7/100,0)</f>
        <v>0</v>
      </c>
      <c r="R17" s="38">
        <f>IF(E17="Роздрібна торгівля",O17*$R$8/100,0)</f>
        <v>0</v>
      </c>
      <c r="S17" s="38">
        <f>IF(E17="Експорт товарів і напівфабрикатів",O17*$X$4/100,0)</f>
        <v>0</v>
      </c>
      <c r="T17" s="38">
        <f>IF(E17="Експорт сировини",O17*$X$5/100,0)</f>
        <v>1.5467906046794087</v>
      </c>
      <c r="U17" s="38">
        <f>O17+P17+Q17+R17+S17+T17</f>
        <v>40.216555721664626</v>
      </c>
      <c r="V17" s="38">
        <f>N17</f>
        <v>0.38286896155430911</v>
      </c>
      <c r="W17" s="38">
        <f>H17+I17+P17+Q17+R17+S17+T17</f>
        <v>1.5467906046794087</v>
      </c>
      <c r="X17" s="38">
        <f>IF(OR(F17="Кінцеве споживання",F17="Експорт"),U17,0)</f>
        <v>40.216555721664626</v>
      </c>
      <c r="Y17" s="38">
        <f>IF(F17="Перехід",U17,0)</f>
        <v>0</v>
      </c>
      <c r="Z17" s="39">
        <f>IF($D$8=0,0,SUM($X$11:X13,$X$16:X17)/$D$8*100-100)</f>
        <v>-91.748882039952449</v>
      </c>
      <c r="AA17" s="39"/>
      <c r="AB17" s="38">
        <f>U17</f>
        <v>40.216555721664626</v>
      </c>
      <c r="AC17" s="37" t="s">
        <v>87</v>
      </c>
      <c r="AD17" s="39">
        <f>IF($AB$41=0,0,AB17/$AB$41*100)</f>
        <v>0.32391508747523673</v>
      </c>
      <c r="AE17" s="40"/>
      <c r="AF17" s="40"/>
      <c r="AG17" s="40"/>
      <c r="AH17" s="40"/>
      <c r="AI17" s="27"/>
      <c r="AJ17" s="27"/>
      <c r="AK17" s="27"/>
    </row>
    <row r="18" spans="1:37" ht="21.75" customHeight="1" x14ac:dyDescent="0.2">
      <c r="A18" s="35">
        <v>2</v>
      </c>
      <c r="B18" s="36">
        <v>3.3369086120184299</v>
      </c>
      <c r="C18" s="37" t="s">
        <v>158</v>
      </c>
      <c r="D18" s="37" t="s">
        <v>153</v>
      </c>
      <c r="E18" s="37" t="s">
        <v>83</v>
      </c>
      <c r="F18" s="37" t="s">
        <v>90</v>
      </c>
      <c r="G18" s="38">
        <f>$Y$14*B18/100</f>
        <v>84.501053533073446</v>
      </c>
      <c r="H18" s="38">
        <f>IF(D18="Імпорт товарів кінцевого споживання",G18*$R$4/100,0)</f>
        <v>0</v>
      </c>
      <c r="I18" s="38">
        <f>IF(D18="Імпорт сировини й напівфабрикатів",G18*$R$5/100,0)</f>
        <v>0</v>
      </c>
      <c r="J18" s="39">
        <f>$D$5</f>
        <v>21.647908091545101</v>
      </c>
      <c r="K18" s="38">
        <f>G18*J18/100</f>
        <v>18.292710405227066</v>
      </c>
      <c r="L18" s="38">
        <f>G18+H18+I18+K18</f>
        <v>102.79376393830051</v>
      </c>
      <c r="M18" s="39">
        <f>$X$8</f>
        <v>1</v>
      </c>
      <c r="N18" s="38">
        <f>L18*M18/100</f>
        <v>1.0279376393830051</v>
      </c>
      <c r="O18" s="38">
        <f>L18+N18</f>
        <v>103.82170157768353</v>
      </c>
      <c r="P18" s="38">
        <f>IF(OR(E18="Оптова торгівля",E18="Імпорт + оптовий продаж"),O18*$R$6/100,0)</f>
        <v>0</v>
      </c>
      <c r="Q18" s="38">
        <f>IF(E18="Виробництво",O18*$R$7/100,0)</f>
        <v>2.9070076441751387</v>
      </c>
      <c r="R18" s="38">
        <f>IF(E18="Роздрібна торгівля",O18*$R$8/100,0)</f>
        <v>0</v>
      </c>
      <c r="S18" s="38">
        <f>IF(E18="Експорт товарів і напівфабрикатів",O18*$X$4/100,0)</f>
        <v>0</v>
      </c>
      <c r="T18" s="38">
        <f>IF(E18="Експорт сировини",O18*$X$5/100,0)</f>
        <v>0</v>
      </c>
      <c r="U18" s="38">
        <f>O18+P18+Q18+R18+S18+T18</f>
        <v>106.72870922185867</v>
      </c>
      <c r="V18" s="38">
        <f>N18</f>
        <v>1.0279376393830051</v>
      </c>
      <c r="W18" s="38">
        <f>H18+I18+P18+Q18+R18+S18+T18</f>
        <v>2.9070076441751387</v>
      </c>
      <c r="X18" s="38">
        <f>IF(OR(F18="Кінцеве споживання",F18="Експорт"),U18,0)</f>
        <v>106.72870922185867</v>
      </c>
      <c r="Y18" s="38">
        <f>IF(F18="Перехід",U18,0)</f>
        <v>0</v>
      </c>
      <c r="Z18" s="39">
        <f>IF($D$8=0,0,SUM($X$11:X13,$X$16:X18)/$D$8*100-100)</f>
        <v>-86.174067064211897</v>
      </c>
      <c r="AA18" s="39"/>
      <c r="AB18" s="38">
        <f>U18</f>
        <v>106.72870922185867</v>
      </c>
      <c r="AC18" s="37" t="s">
        <v>83</v>
      </c>
      <c r="AD18" s="39">
        <f>IF($AB$41=0,0,AB18/$AB$41*100)</f>
        <v>0.85962207760855225</v>
      </c>
      <c r="AE18" s="40"/>
      <c r="AF18" s="40"/>
      <c r="AG18" s="40"/>
      <c r="AH18" s="40"/>
      <c r="AI18" s="27"/>
      <c r="AJ18" s="27"/>
      <c r="AK18" s="27"/>
    </row>
    <row r="19" spans="1:37" ht="21.75" customHeight="1" x14ac:dyDescent="0.2">
      <c r="A19" s="35">
        <v>2</v>
      </c>
      <c r="B19" s="36">
        <v>62.616217166495403</v>
      </c>
      <c r="C19" s="37" t="s">
        <v>159</v>
      </c>
      <c r="D19" s="37" t="s">
        <v>153</v>
      </c>
      <c r="E19" s="37" t="s">
        <v>83</v>
      </c>
      <c r="F19" s="37" t="s">
        <v>75</v>
      </c>
      <c r="G19" s="38">
        <f>$Y$14*B19/100</f>
        <v>1585.6401640031961</v>
      </c>
      <c r="H19" s="38">
        <f>IF(D19="Імпорт товарів кінцевого споживання",G19*$R$4/100,0)</f>
        <v>0</v>
      </c>
      <c r="I19" s="38">
        <f>IF(D19="Імпорт сировини й напівфабрикатів",G19*$R$5/100,0)</f>
        <v>0</v>
      </c>
      <c r="J19" s="39">
        <f>$D$5</f>
        <v>21.647908091545101</v>
      </c>
      <c r="K19" s="38">
        <f>G19*J19/100</f>
        <v>343.25792536603689</v>
      </c>
      <c r="L19" s="38">
        <f>G19+H19+I19+K19</f>
        <v>1928.898089369233</v>
      </c>
      <c r="M19" s="39">
        <f>$X$8</f>
        <v>1</v>
      </c>
      <c r="N19" s="38">
        <f>L19*M19/100</f>
        <v>19.288980893692329</v>
      </c>
      <c r="O19" s="38">
        <f>L19+N19</f>
        <v>1948.1870702629253</v>
      </c>
      <c r="P19" s="38">
        <f>IF(OR(E19="Оптова торгівля",E19="Імпорт + оптовий продаж"),O19*$R$6/100,0)</f>
        <v>0</v>
      </c>
      <c r="Q19" s="38">
        <f>IF(E19="Виробництво",O19*$R$7/100,0)</f>
        <v>54.549237967361904</v>
      </c>
      <c r="R19" s="38">
        <f>IF(E19="Роздрібна торгівля",O19*$R$8/100,0)</f>
        <v>0</v>
      </c>
      <c r="S19" s="38">
        <f>IF(E19="Експорт товарів і напівфабрикатів",O19*$X$4/100,0)</f>
        <v>0</v>
      </c>
      <c r="T19" s="38">
        <f>IF(E19="Експорт сировини",O19*$X$5/100,0)</f>
        <v>0</v>
      </c>
      <c r="U19" s="38">
        <f>O19+P19+Q19+R19+S19+T19</f>
        <v>2002.7363082302872</v>
      </c>
      <c r="V19" s="38">
        <f>N19</f>
        <v>19.288980893692329</v>
      </c>
      <c r="W19" s="38">
        <f>H19+I19+P19+Q19+R19+S19+T19</f>
        <v>54.549237967361904</v>
      </c>
      <c r="X19" s="38">
        <f>IF(OR(F19="Кінцеве споживання",F19="Експорт"),U19,0)</f>
        <v>0</v>
      </c>
      <c r="Y19" s="38">
        <f>IF(F19="Перехід",U19,0)</f>
        <v>2002.7363082302872</v>
      </c>
      <c r="Z19" s="39">
        <f>IF($D$8=0,0,SUM($X$11:X13,$X$16:X19)/$D$8*100-100)</f>
        <v>-86.174067064211897</v>
      </c>
      <c r="AA19" s="39"/>
      <c r="AB19" s="38">
        <f>U19</f>
        <v>2002.7363082302872</v>
      </c>
      <c r="AC19" s="37" t="s">
        <v>83</v>
      </c>
      <c r="AD19" s="39">
        <f>IF($AB$41=0,0,AB19/$AB$41*100)</f>
        <v>16.130583408483766</v>
      </c>
      <c r="AE19" s="40"/>
      <c r="AF19" s="40"/>
      <c r="AG19" s="40"/>
      <c r="AH19" s="40"/>
      <c r="AI19" s="27"/>
      <c r="AJ19" s="27"/>
      <c r="AK19" s="27"/>
    </row>
    <row r="20" spans="1:37" ht="21.75" customHeight="1" x14ac:dyDescent="0.2">
      <c r="A20" s="35">
        <v>2</v>
      </c>
      <c r="B20" s="36">
        <v>29.075371335953299</v>
      </c>
      <c r="C20" s="37" t="s">
        <v>160</v>
      </c>
      <c r="D20" s="37" t="s">
        <v>153</v>
      </c>
      <c r="E20" s="37" t="s">
        <v>161</v>
      </c>
      <c r="F20" s="37" t="s">
        <v>75</v>
      </c>
      <c r="G20" s="38">
        <f>$Y$14*B20/100</f>
        <v>736.28013092850301</v>
      </c>
      <c r="H20" s="38">
        <f>IF(D20="Імпорт товарів кінцевого споживання",G20*$R$4/100,0)</f>
        <v>0</v>
      </c>
      <c r="I20" s="38">
        <f>IF(D20="Імпорт сировини й напівфабрикатів",G20*$R$5/100,0)</f>
        <v>0</v>
      </c>
      <c r="J20" s="39">
        <f>$D$5</f>
        <v>21.647908091545101</v>
      </c>
      <c r="K20" s="38">
        <f>G20*J20/100</f>
        <v>159.38924603971026</v>
      </c>
      <c r="L20" s="38">
        <f>G20+H20+I20+K20</f>
        <v>895.66937696821333</v>
      </c>
      <c r="M20" s="39">
        <f>$X$7</f>
        <v>11.3104239756686</v>
      </c>
      <c r="N20" s="38">
        <f>L20*M20/100</f>
        <v>101.30400395533438</v>
      </c>
      <c r="O20" s="38">
        <f>L20+N20</f>
        <v>996.97338092354767</v>
      </c>
      <c r="P20" s="38">
        <f>IF(OR(E20="Оптова торгівля",E20="Імпорт + оптовий продаж"),O20*$R$6/100,0)</f>
        <v>38.881961856018357</v>
      </c>
      <c r="Q20" s="38">
        <f>IF(E20="Виробництво",O20*$R$7/100,0)</f>
        <v>0</v>
      </c>
      <c r="R20" s="38">
        <f>IF(E20="Роздрібна торгівля",O20*$R$8/100,0)</f>
        <v>0</v>
      </c>
      <c r="S20" s="38">
        <f>IF(E20="Експорт товарів і напівфабрикатів",O20*$X$4/100,0)</f>
        <v>0</v>
      </c>
      <c r="T20" s="38">
        <f>IF(E20="Експорт сировини",O20*$X$5/100,0)</f>
        <v>0</v>
      </c>
      <c r="U20" s="38">
        <f>O20+P20+Q20+R20+S20+T20</f>
        <v>1035.8553427795659</v>
      </c>
      <c r="V20" s="38">
        <f>N20</f>
        <v>101.30400395533438</v>
      </c>
      <c r="W20" s="38">
        <f>H20+I20+P20+Q20+R20+S20+T20</f>
        <v>38.881961856018357</v>
      </c>
      <c r="X20" s="38">
        <f>IF(OR(F20="Кінцеве споживання",F20="Експорт"),U20,0)</f>
        <v>0</v>
      </c>
      <c r="Y20" s="38">
        <f>IF(F20="Перехід",U20,0)</f>
        <v>1035.8553427795659</v>
      </c>
      <c r="Z20" s="39">
        <f>IF($D$8=0,0,SUM($X$11:X13,$X$16:X20)/$D$8*100-100)</f>
        <v>-86.174067064211897</v>
      </c>
      <c r="AA20" s="39"/>
      <c r="AB20" s="38">
        <f>U20</f>
        <v>1035.8553427795659</v>
      </c>
      <c r="AC20" s="37" t="s">
        <v>162</v>
      </c>
      <c r="AD20" s="39">
        <f>IF($AB$41=0,0,AB20/$AB$41*100)</f>
        <v>8.3430609097980302</v>
      </c>
      <c r="AE20" s="40"/>
      <c r="AF20" s="40"/>
      <c r="AG20" s="40"/>
      <c r="AH20" s="40"/>
      <c r="AI20" s="27"/>
      <c r="AJ20" s="27"/>
      <c r="AK20" s="27"/>
    </row>
    <row r="21" spans="1:37" ht="21.75" customHeight="1" x14ac:dyDescent="0.2">
      <c r="A21" s="41">
        <v>2</v>
      </c>
      <c r="B21" s="42">
        <f>SUM(B16:B20)</f>
        <v>100.00000000000003</v>
      </c>
      <c r="C21" s="43" t="s">
        <v>95</v>
      </c>
      <c r="D21" s="43" t="s">
        <v>85</v>
      </c>
      <c r="E21" s="43" t="s">
        <v>85</v>
      </c>
      <c r="F21" s="43" t="s">
        <v>85</v>
      </c>
      <c r="G21" s="44">
        <f>SUM(G16:G20)</f>
        <v>2532.3154859179817</v>
      </c>
      <c r="H21" s="44">
        <f>SUM(H16:H20)</f>
        <v>0</v>
      </c>
      <c r="I21" s="44">
        <f>SUM(I16:I20)</f>
        <v>0</v>
      </c>
      <c r="J21" s="42"/>
      <c r="K21" s="44">
        <f>SUM(K16:K20)</f>
        <v>548.19332897948834</v>
      </c>
      <c r="L21" s="44">
        <f>SUM(L16:L20)</f>
        <v>3080.5088148974701</v>
      </c>
      <c r="M21" s="42"/>
      <c r="N21" s="44">
        <f t="shared" ref="N21:Y21" si="1">SUM(N16:N20)</f>
        <v>123.15239833462695</v>
      </c>
      <c r="O21" s="44">
        <f t="shared" si="1"/>
        <v>3203.661213232097</v>
      </c>
      <c r="P21" s="44">
        <f t="shared" si="1"/>
        <v>38.881961856018357</v>
      </c>
      <c r="Q21" s="44">
        <f t="shared" si="1"/>
        <v>57.456245611537042</v>
      </c>
      <c r="R21" s="44">
        <f t="shared" si="1"/>
        <v>0</v>
      </c>
      <c r="S21" s="44">
        <f t="shared" si="1"/>
        <v>1.7401394302643303</v>
      </c>
      <c r="T21" s="44">
        <f t="shared" si="1"/>
        <v>1.5467906046794087</v>
      </c>
      <c r="U21" s="44">
        <f t="shared" si="1"/>
        <v>3303.286350734596</v>
      </c>
      <c r="V21" s="44">
        <f t="shared" si="1"/>
        <v>123.15239833462695</v>
      </c>
      <c r="W21" s="44">
        <f t="shared" si="1"/>
        <v>99.625137502499143</v>
      </c>
      <c r="X21" s="44">
        <f t="shared" si="1"/>
        <v>264.69469972474297</v>
      </c>
      <c r="Y21" s="44">
        <f t="shared" si="1"/>
        <v>3038.5916510098532</v>
      </c>
      <c r="Z21" s="42">
        <f>IF($D$8=0,0,SUM($X$11:X13,$X$16:X20)/$D$8*100-100)</f>
        <v>-86.174067064211897</v>
      </c>
      <c r="AA21" s="42" t="str">
        <f>IF(ABS(SUM(B16:B20)-100)&lt;0.01,"ОК","ПОМИЛКА")</f>
        <v>ОК</v>
      </c>
      <c r="AB21" s="44">
        <f>SUM(AB16:AB20)</f>
        <v>3303.286350734596</v>
      </c>
      <c r="AC21" s="43"/>
      <c r="AD21" s="42"/>
      <c r="AE21" s="40"/>
      <c r="AF21" s="40"/>
      <c r="AG21" s="40"/>
      <c r="AH21" s="40"/>
      <c r="AI21" s="27"/>
      <c r="AJ21" s="27"/>
      <c r="AK21" s="27"/>
    </row>
    <row r="22" spans="1:37" ht="21.75" customHeight="1" x14ac:dyDescent="0.2">
      <c r="A22" s="35"/>
      <c r="B22" s="39"/>
      <c r="C22" s="37"/>
      <c r="D22" s="37"/>
      <c r="E22" s="37"/>
      <c r="F22" s="37"/>
      <c r="G22" s="38"/>
      <c r="H22" s="38"/>
      <c r="I22" s="38"/>
      <c r="J22" s="39"/>
      <c r="K22" s="38"/>
      <c r="L22" s="38"/>
      <c r="M22" s="39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9"/>
      <c r="AA22" s="39"/>
      <c r="AB22" s="38"/>
      <c r="AC22" s="37"/>
      <c r="AD22" s="39"/>
      <c r="AE22" s="40"/>
      <c r="AF22" s="40"/>
      <c r="AG22" s="40"/>
      <c r="AH22" s="40"/>
      <c r="AI22" s="27"/>
      <c r="AJ22" s="27"/>
      <c r="AK22" s="27"/>
    </row>
    <row r="23" spans="1:37" ht="21.75" customHeight="1" x14ac:dyDescent="0.2">
      <c r="A23" s="35">
        <v>3</v>
      </c>
      <c r="B23" s="36">
        <v>30.236674633123101</v>
      </c>
      <c r="C23" s="37" t="s">
        <v>154</v>
      </c>
      <c r="D23" s="37" t="s">
        <v>153</v>
      </c>
      <c r="E23" s="37" t="s">
        <v>155</v>
      </c>
      <c r="F23" s="37" t="s">
        <v>87</v>
      </c>
      <c r="G23" s="38">
        <f>$Y$21*B23/100</f>
        <v>918.76907094509272</v>
      </c>
      <c r="H23" s="38">
        <f>IF(D23="Імпорт товарів кінцевого споживання",G23*$R$4/100,0)</f>
        <v>0</v>
      </c>
      <c r="I23" s="38">
        <f>IF(D23="Імпорт сировини й напівфабрикатів",G23*$R$5/100,0)</f>
        <v>0</v>
      </c>
      <c r="J23" s="39">
        <f>$D$5</f>
        <v>21.647908091545101</v>
      </c>
      <c r="K23" s="38">
        <f>G23*J23/100</f>
        <v>198.89428405173646</v>
      </c>
      <c r="L23" s="38">
        <f>G23+H23+I23+K23</f>
        <v>1117.6633549968292</v>
      </c>
      <c r="M23" s="39">
        <f>$AC$4</f>
        <v>1</v>
      </c>
      <c r="N23" s="38">
        <f>L23*M23/100</f>
        <v>11.176633549968292</v>
      </c>
      <c r="O23" s="38">
        <f>L23+N23</f>
        <v>1128.8399885467975</v>
      </c>
      <c r="P23" s="38">
        <f>IF(OR(E23="Оптова торгівля",E23="Імпорт + оптовий продаж"),O23*$R$6/100,0)</f>
        <v>0</v>
      </c>
      <c r="Q23" s="38">
        <f>IF(E23="Виробництво",O23*$R$7/100,0)</f>
        <v>0</v>
      </c>
      <c r="R23" s="38">
        <f>IF(E23="Роздрібна торгівля",O23*$R$8/100,0)</f>
        <v>0</v>
      </c>
      <c r="S23" s="38">
        <f>IF(E23="Експорт товарів і напівфабрикатів",O23*$X$4/100,0)</f>
        <v>16.932599828201962</v>
      </c>
      <c r="T23" s="38">
        <f>IF(E23="Експорт сировини",O23*$X$5/100,0)</f>
        <v>0</v>
      </c>
      <c r="U23" s="38">
        <f>O23+P23+Q23+R23+S23+T23</f>
        <v>1145.7725883749995</v>
      </c>
      <c r="V23" s="38">
        <f>N23</f>
        <v>11.176633549968292</v>
      </c>
      <c r="W23" s="38">
        <f>H23+I23+P23+Q23+R23+S23+T23</f>
        <v>16.932599828201962</v>
      </c>
      <c r="X23" s="38">
        <f>IF(OR(F23="Кінцеве споживання",F23="Експорт"),U23,0)</f>
        <v>1145.7725883749995</v>
      </c>
      <c r="Y23" s="38">
        <f>IF(F23="Перехід",U23,0)</f>
        <v>0</v>
      </c>
      <c r="Z23" s="39">
        <f>IF($D$8=0,0,SUM($X$11:X13,$X$16:X20,$X$23:X23)/$D$8*100-100)</f>
        <v>-26.32634445015654</v>
      </c>
      <c r="AA23" s="39"/>
      <c r="AB23" s="38">
        <f>U23</f>
        <v>1145.7725883749995</v>
      </c>
      <c r="AC23" s="37" t="s">
        <v>87</v>
      </c>
      <c r="AD23" s="39">
        <f>IF($AB$41=0,0,AB23/$AB$41*100)</f>
        <v>9.2283643273381397</v>
      </c>
      <c r="AE23" s="40"/>
      <c r="AF23" s="40"/>
      <c r="AG23" s="40"/>
      <c r="AH23" s="40"/>
      <c r="AI23" s="27"/>
      <c r="AJ23" s="27"/>
      <c r="AK23" s="27"/>
    </row>
    <row r="24" spans="1:37" ht="21.75" customHeight="1" x14ac:dyDescent="0.2">
      <c r="A24" s="35">
        <v>3</v>
      </c>
      <c r="B24" s="36">
        <v>10.0788915443744</v>
      </c>
      <c r="C24" s="37" t="s">
        <v>156</v>
      </c>
      <c r="D24" s="37" t="s">
        <v>153</v>
      </c>
      <c r="E24" s="37" t="s">
        <v>157</v>
      </c>
      <c r="F24" s="37" t="s">
        <v>87</v>
      </c>
      <c r="G24" s="38">
        <f>$Y$21*B24/100</f>
        <v>306.25635698169862</v>
      </c>
      <c r="H24" s="38">
        <f>IF(D24="Імпорт товарів кінцевого споживання",G24*$R$4/100,0)</f>
        <v>0</v>
      </c>
      <c r="I24" s="38">
        <f>IF(D24="Імпорт сировини й напівфабрикатів",G24*$R$5/100,0)</f>
        <v>0</v>
      </c>
      <c r="J24" s="39">
        <f>$D$5</f>
        <v>21.647908091545101</v>
      </c>
      <c r="K24" s="38">
        <f>G24*J24/100</f>
        <v>66.298094683912382</v>
      </c>
      <c r="L24" s="38">
        <f>G24+H24+I24+K24</f>
        <v>372.554451665611</v>
      </c>
      <c r="M24" s="39">
        <f>$AC$4</f>
        <v>1</v>
      </c>
      <c r="N24" s="38">
        <f>L24*M24/100</f>
        <v>3.7255445166561101</v>
      </c>
      <c r="O24" s="38">
        <f>L24+N24</f>
        <v>376.2799961822671</v>
      </c>
      <c r="P24" s="38">
        <f>IF(OR(E24="Оптова торгівля",E24="Імпорт + оптовий продаж"),O24*$R$6/100,0)</f>
        <v>0</v>
      </c>
      <c r="Q24" s="38">
        <f>IF(E24="Виробництво",O24*$R$7/100,0)</f>
        <v>0</v>
      </c>
      <c r="R24" s="38">
        <f>IF(E24="Роздрібна торгівля",O24*$R$8/100,0)</f>
        <v>0</v>
      </c>
      <c r="S24" s="38">
        <f>IF(E24="Експорт товарів і напівфабрикатів",O24*$X$4/100,0)</f>
        <v>0</v>
      </c>
      <c r="T24" s="38">
        <f>IF(E24="Експорт сировини",O24*$X$5/100,0)</f>
        <v>15.051199847290684</v>
      </c>
      <c r="U24" s="38">
        <f>O24+P24+Q24+R24+S24+T24</f>
        <v>391.33119602955776</v>
      </c>
      <c r="V24" s="38">
        <f>N24</f>
        <v>3.7255445166561101</v>
      </c>
      <c r="W24" s="38">
        <f>H24+I24+P24+Q24+R24+S24+T24</f>
        <v>15.051199847290684</v>
      </c>
      <c r="X24" s="38">
        <f>IF(OR(F24="Кінцеве споживання",F24="Експорт"),U24,0)</f>
        <v>391.33119602955776</v>
      </c>
      <c r="Y24" s="38">
        <f>IF(F24="Перехід",U24,0)</f>
        <v>0</v>
      </c>
      <c r="Z24" s="39">
        <f>IF($D$8=0,0,SUM($X$11:X13,$X$16:X20,$X$23:X24)/$D$8*100-100)</f>
        <v>-5.8857429662098184</v>
      </c>
      <c r="AA24" s="39"/>
      <c r="AB24" s="38">
        <f>U24</f>
        <v>391.33119602955776</v>
      </c>
      <c r="AC24" s="37" t="s">
        <v>87</v>
      </c>
      <c r="AD24" s="39">
        <f>IF($AB$41=0,0,AB24/$AB$41*100)</f>
        <v>3.1518879804373388</v>
      </c>
      <c r="AE24" s="40"/>
      <c r="AF24" s="40"/>
      <c r="AG24" s="40"/>
      <c r="AH24" s="40"/>
      <c r="AI24" s="27"/>
      <c r="AJ24" s="27"/>
      <c r="AK24" s="27"/>
    </row>
    <row r="25" spans="1:37" ht="21.75" customHeight="1" x14ac:dyDescent="0.2">
      <c r="A25" s="35">
        <v>3</v>
      </c>
      <c r="B25" s="36">
        <v>41.7458423930686</v>
      </c>
      <c r="C25" s="37" t="s">
        <v>158</v>
      </c>
      <c r="D25" s="37" t="s">
        <v>153</v>
      </c>
      <c r="E25" s="37" t="s">
        <v>83</v>
      </c>
      <c r="F25" s="37" t="s">
        <v>90</v>
      </c>
      <c r="G25" s="38">
        <f>$Y$21*B25/100</f>
        <v>1268.4856815995145</v>
      </c>
      <c r="H25" s="38">
        <f>IF(D25="Імпорт товарів кінцевого споживання",G25*$R$4/100,0)</f>
        <v>0</v>
      </c>
      <c r="I25" s="38">
        <f>IF(D25="Імпорт сировини й напівфабрикатів",G25*$R$5/100,0)</f>
        <v>0</v>
      </c>
      <c r="J25" s="39">
        <f>$D$5</f>
        <v>21.647908091545101</v>
      </c>
      <c r="K25" s="38">
        <f>G25*J25/100</f>
        <v>274.60061450707229</v>
      </c>
      <c r="L25" s="38">
        <f>G25+H25+I25+K25</f>
        <v>1543.0862961065868</v>
      </c>
      <c r="M25" s="39">
        <f>$X$8</f>
        <v>1</v>
      </c>
      <c r="N25" s="38">
        <f>L25*M25/100</f>
        <v>15.430862961065868</v>
      </c>
      <c r="O25" s="38">
        <f>L25+N25</f>
        <v>1558.5171590676528</v>
      </c>
      <c r="P25" s="38">
        <f>IF(OR(E25="Оптова торгівля",E25="Імпорт + оптовий продаж"),O25*$R$6/100,0)</f>
        <v>0</v>
      </c>
      <c r="Q25" s="38">
        <f>IF(E25="Виробництво",O25*$R$7/100,0)</f>
        <v>43.638480453894275</v>
      </c>
      <c r="R25" s="38">
        <f>IF(E25="Роздрібна торгівля",O25*$R$8/100,0)</f>
        <v>0</v>
      </c>
      <c r="S25" s="38">
        <f>IF(E25="Експорт товарів і напівфабрикатів",O25*$X$4/100,0)</f>
        <v>0</v>
      </c>
      <c r="T25" s="38">
        <f>IF(E25="Експорт сировини",O25*$X$5/100,0)</f>
        <v>0</v>
      </c>
      <c r="U25" s="38">
        <f>O25+P25+Q25+R25+S25+T25</f>
        <v>1602.1556395215471</v>
      </c>
      <c r="V25" s="38">
        <f>N25</f>
        <v>15.430862961065868</v>
      </c>
      <c r="W25" s="38">
        <f>H25+I25+P25+Q25+R25+S25+T25</f>
        <v>43.638480453894275</v>
      </c>
      <c r="X25" s="38">
        <f>IF(OR(F25="Кінцеве споживання",F25="Експорт"),U25,0)</f>
        <v>1602.1556395215471</v>
      </c>
      <c r="Y25" s="38">
        <f>IF(F25="Перехід",U25,0)</f>
        <v>0</v>
      </c>
      <c r="Z25" s="39">
        <f>IF($D$8=0,0,SUM($X$11:X13,$X$16:X20,$X$23:X25)/$D$8*100-100)</f>
        <v>77.800467780566862</v>
      </c>
      <c r="AA25" s="39"/>
      <c r="AB25" s="38">
        <f>U25</f>
        <v>1602.1556395215471</v>
      </c>
      <c r="AC25" s="37" t="s">
        <v>83</v>
      </c>
      <c r="AD25" s="39">
        <f>IF($AB$41=0,0,AB25/$AB$41*100)</f>
        <v>12.904197657210142</v>
      </c>
      <c r="AE25" s="40"/>
      <c r="AF25" s="40"/>
      <c r="AG25" s="40"/>
      <c r="AH25" s="40"/>
      <c r="AI25" s="27"/>
      <c r="AJ25" s="27"/>
      <c r="AK25" s="27"/>
    </row>
    <row r="26" spans="1:37" ht="21.75" customHeight="1" x14ac:dyDescent="0.2">
      <c r="A26" s="35">
        <v>3</v>
      </c>
      <c r="B26" s="36">
        <v>7.4235365432817604</v>
      </c>
      <c r="C26" s="37" t="s">
        <v>159</v>
      </c>
      <c r="D26" s="37" t="s">
        <v>153</v>
      </c>
      <c r="E26" s="37" t="s">
        <v>83</v>
      </c>
      <c r="F26" s="37" t="s">
        <v>75</v>
      </c>
      <c r="G26" s="38">
        <f>$Y$21*B26/100</f>
        <v>225.57096161382503</v>
      </c>
      <c r="H26" s="38">
        <f>IF(D26="Імпорт товарів кінцевого споживання",G26*$R$4/100,0)</f>
        <v>0</v>
      </c>
      <c r="I26" s="38">
        <f>IF(D26="Імпорт сировини й напівфабрикатів",G26*$R$5/100,0)</f>
        <v>0</v>
      </c>
      <c r="J26" s="39">
        <f>$D$5</f>
        <v>21.647908091545101</v>
      </c>
      <c r="K26" s="38">
        <f>G26*J26/100</f>
        <v>48.831394451375324</v>
      </c>
      <c r="L26" s="38">
        <f>G26+H26+I26+K26</f>
        <v>274.40235606520037</v>
      </c>
      <c r="M26" s="39">
        <f>$X$8</f>
        <v>1</v>
      </c>
      <c r="N26" s="38">
        <f>L26*M26/100</f>
        <v>2.7440235606520038</v>
      </c>
      <c r="O26" s="38">
        <f>L26+N26</f>
        <v>277.14637962585238</v>
      </c>
      <c r="P26" s="38">
        <f>IF(OR(E26="Оптова торгівля",E26="Імпорт + оптовий продаж"),O26*$R$6/100,0)</f>
        <v>0</v>
      </c>
      <c r="Q26" s="38">
        <f>IF(E26="Виробництво",O26*$R$7/100,0)</f>
        <v>7.7600986295238661</v>
      </c>
      <c r="R26" s="38">
        <f>IF(E26="Роздрібна торгівля",O26*$R$8/100,0)</f>
        <v>0</v>
      </c>
      <c r="S26" s="38">
        <f>IF(E26="Експорт товарів і напівфабрикатів",O26*$X$4/100,0)</f>
        <v>0</v>
      </c>
      <c r="T26" s="38">
        <f>IF(E26="Експорт сировини",O26*$X$5/100,0)</f>
        <v>0</v>
      </c>
      <c r="U26" s="38">
        <f>O26+P26+Q26+R26+S26+T26</f>
        <v>284.90647825537621</v>
      </c>
      <c r="V26" s="38">
        <f>N26</f>
        <v>2.7440235606520038</v>
      </c>
      <c r="W26" s="38">
        <f>H26+I26+P26+Q26+R26+S26+T26</f>
        <v>7.7600986295238661</v>
      </c>
      <c r="X26" s="38">
        <f>IF(OR(F26="Кінцеве споживання",F26="Експорт"),U26,0)</f>
        <v>0</v>
      </c>
      <c r="Y26" s="38">
        <f>IF(F26="Перехід",U26,0)</f>
        <v>284.90647825537621</v>
      </c>
      <c r="Z26" s="39">
        <f>IF($D$8=0,0,SUM($X$11:X13,$X$16:X20,$X$23:X26)/$D$8*100-100)</f>
        <v>77.800467780566862</v>
      </c>
      <c r="AA26" s="39"/>
      <c r="AB26" s="38">
        <f>U26</f>
        <v>284.90647825537621</v>
      </c>
      <c r="AC26" s="37" t="s">
        <v>83</v>
      </c>
      <c r="AD26" s="39">
        <f>IF($AB$41=0,0,AB26/$AB$41*100)</f>
        <v>2.2947143327004929</v>
      </c>
      <c r="AE26" s="40"/>
      <c r="AF26" s="40"/>
      <c r="AG26" s="40"/>
      <c r="AH26" s="40"/>
      <c r="AI26" s="27"/>
      <c r="AJ26" s="27"/>
      <c r="AK26" s="27"/>
    </row>
    <row r="27" spans="1:37" ht="21.75" customHeight="1" x14ac:dyDescent="0.2">
      <c r="A27" s="35">
        <v>3</v>
      </c>
      <c r="B27" s="36">
        <v>10.515054886152299</v>
      </c>
      <c r="C27" s="37" t="s">
        <v>160</v>
      </c>
      <c r="D27" s="37" t="s">
        <v>153</v>
      </c>
      <c r="E27" s="37" t="s">
        <v>161</v>
      </c>
      <c r="F27" s="37" t="s">
        <v>75</v>
      </c>
      <c r="G27" s="38">
        <f>$Y$21*B27/100</f>
        <v>319.50957986972736</v>
      </c>
      <c r="H27" s="38">
        <f>IF(D27="Імпорт товарів кінцевого споживання",G27*$R$4/100,0)</f>
        <v>0</v>
      </c>
      <c r="I27" s="38">
        <f>IF(D27="Імпорт сировини й напівфабрикатів",G27*$R$5/100,0)</f>
        <v>0</v>
      </c>
      <c r="J27" s="39">
        <f>$D$5</f>
        <v>21.647908091545101</v>
      </c>
      <c r="K27" s="38">
        <f>G27*J27/100</f>
        <v>69.167140193880471</v>
      </c>
      <c r="L27" s="38">
        <f>G27+H27+I27+K27</f>
        <v>388.67672006360783</v>
      </c>
      <c r="M27" s="39">
        <f>$X$7</f>
        <v>11.3104239756686</v>
      </c>
      <c r="N27" s="38">
        <f>L27*M27/100</f>
        <v>43.960984933916627</v>
      </c>
      <c r="O27" s="38">
        <f>L27+N27</f>
        <v>432.63770499752445</v>
      </c>
      <c r="P27" s="38">
        <f>IF(OR(E27="Оптова торгівля",E27="Імпорт + оптовий продаж"),O27*$R$6/100,0)</f>
        <v>16.872870494903452</v>
      </c>
      <c r="Q27" s="38">
        <f>IF(E27="Виробництво",O27*$R$7/100,0)</f>
        <v>0</v>
      </c>
      <c r="R27" s="38">
        <f>IF(E27="Роздрібна торгівля",O27*$R$8/100,0)</f>
        <v>0</v>
      </c>
      <c r="S27" s="38">
        <f>IF(E27="Експорт товарів і напівфабрикатів",O27*$X$4/100,0)</f>
        <v>0</v>
      </c>
      <c r="T27" s="38">
        <f>IF(E27="Експорт сировини",O27*$X$5/100,0)</f>
        <v>0</v>
      </c>
      <c r="U27" s="38">
        <f>O27+P27+Q27+R27+S27+T27</f>
        <v>449.5105754924279</v>
      </c>
      <c r="V27" s="38">
        <f>N27</f>
        <v>43.960984933916627</v>
      </c>
      <c r="W27" s="38">
        <f>H27+I27+P27+Q27+R27+S27+T27</f>
        <v>16.872870494903452</v>
      </c>
      <c r="X27" s="38">
        <f>IF(OR(F27="Кінцеве споживання",F27="Експорт"),U27,0)</f>
        <v>0</v>
      </c>
      <c r="Y27" s="38">
        <f>IF(F27="Перехід",U27,0)</f>
        <v>449.5105754924279</v>
      </c>
      <c r="Z27" s="39">
        <f>IF($D$8=0,0,SUM($X$11:X13,$X$16:X20,$X$23:X27)/$D$8*100-100)</f>
        <v>77.800467780566862</v>
      </c>
      <c r="AA27" s="39"/>
      <c r="AB27" s="38">
        <f>U27</f>
        <v>449.5105754924279</v>
      </c>
      <c r="AC27" s="37" t="s">
        <v>162</v>
      </c>
      <c r="AD27" s="39">
        <f>IF($AB$41=0,0,AB27/$AB$41*100)</f>
        <v>3.6204805401382849</v>
      </c>
      <c r="AE27" s="40"/>
      <c r="AF27" s="40"/>
      <c r="AG27" s="40"/>
      <c r="AH27" s="40"/>
      <c r="AI27" s="27"/>
      <c r="AJ27" s="27"/>
      <c r="AK27" s="27"/>
    </row>
    <row r="28" spans="1:37" ht="21.75" customHeight="1" x14ac:dyDescent="0.2">
      <c r="A28" s="41">
        <v>3</v>
      </c>
      <c r="B28" s="42">
        <f>SUM(B23:B27)</f>
        <v>100.00000000000016</v>
      </c>
      <c r="C28" s="43" t="s">
        <v>96</v>
      </c>
      <c r="D28" s="43" t="s">
        <v>85</v>
      </c>
      <c r="E28" s="43" t="s">
        <v>85</v>
      </c>
      <c r="F28" s="43" t="s">
        <v>85</v>
      </c>
      <c r="G28" s="44">
        <f>SUM(G23:G27)</f>
        <v>3038.5916510098582</v>
      </c>
      <c r="H28" s="44">
        <f>SUM(H23:H27)</f>
        <v>0</v>
      </c>
      <c r="I28" s="44">
        <f>SUM(I23:I27)</f>
        <v>0</v>
      </c>
      <c r="J28" s="42"/>
      <c r="K28" s="44">
        <f>SUM(K23:K27)</f>
        <v>657.79152788797705</v>
      </c>
      <c r="L28" s="44">
        <f>SUM(L23:L27)</f>
        <v>3696.383178897835</v>
      </c>
      <c r="M28" s="42"/>
      <c r="N28" s="44">
        <f t="shared" ref="N28:Y28" si="2">SUM(N23:N27)</f>
        <v>77.038049522258902</v>
      </c>
      <c r="O28" s="44">
        <f t="shared" si="2"/>
        <v>3773.4212284200939</v>
      </c>
      <c r="P28" s="44">
        <f t="shared" si="2"/>
        <v>16.872870494903452</v>
      </c>
      <c r="Q28" s="44">
        <f t="shared" si="2"/>
        <v>51.398579083418142</v>
      </c>
      <c r="R28" s="44">
        <f t="shared" si="2"/>
        <v>0</v>
      </c>
      <c r="S28" s="44">
        <f t="shared" si="2"/>
        <v>16.932599828201962</v>
      </c>
      <c r="T28" s="44">
        <f t="shared" si="2"/>
        <v>15.051199847290684</v>
      </c>
      <c r="U28" s="44">
        <f t="shared" si="2"/>
        <v>3873.6764776739083</v>
      </c>
      <c r="V28" s="44">
        <f t="shared" si="2"/>
        <v>77.038049522258902</v>
      </c>
      <c r="W28" s="44">
        <f t="shared" si="2"/>
        <v>100.25524925381424</v>
      </c>
      <c r="X28" s="44">
        <f t="shared" si="2"/>
        <v>3139.2594239261043</v>
      </c>
      <c r="Y28" s="44">
        <f t="shared" si="2"/>
        <v>734.41705374780418</v>
      </c>
      <c r="Z28" s="42">
        <f>IF($D$8=0,0,SUM($X$11:X13,$X$16:X20,$X$23:X27)/$D$8*100-100)</f>
        <v>77.800467780566862</v>
      </c>
      <c r="AA28" s="42" t="str">
        <f>IF(ABS(SUM(B23:B27)-100)&lt;0.01,"ОК","ПОМИЛКА")</f>
        <v>ОК</v>
      </c>
      <c r="AB28" s="44">
        <f>SUM(AB23:AB27)</f>
        <v>3873.6764776739083</v>
      </c>
      <c r="AC28" s="43"/>
      <c r="AD28" s="42"/>
      <c r="AE28" s="40"/>
      <c r="AF28" s="40"/>
      <c r="AG28" s="40"/>
      <c r="AH28" s="40"/>
      <c r="AI28" s="27"/>
      <c r="AJ28" s="27"/>
      <c r="AK28" s="27"/>
    </row>
    <row r="29" spans="1:37" ht="21.75" customHeight="1" x14ac:dyDescent="0.2">
      <c r="A29" s="35"/>
      <c r="B29" s="39"/>
      <c r="C29" s="37"/>
      <c r="D29" s="37"/>
      <c r="E29" s="37"/>
      <c r="F29" s="37"/>
      <c r="G29" s="38"/>
      <c r="H29" s="38"/>
      <c r="I29" s="38"/>
      <c r="J29" s="39"/>
      <c r="K29" s="38"/>
      <c r="L29" s="38"/>
      <c r="M29" s="39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9"/>
      <c r="AA29" s="39"/>
      <c r="AB29" s="38"/>
      <c r="AC29" s="37"/>
      <c r="AD29" s="39"/>
      <c r="AE29" s="40"/>
      <c r="AF29" s="40"/>
      <c r="AG29" s="40"/>
      <c r="AH29" s="40"/>
      <c r="AI29" s="27"/>
      <c r="AJ29" s="27"/>
      <c r="AK29" s="27"/>
    </row>
    <row r="30" spans="1:37" ht="21.75" customHeight="1" x14ac:dyDescent="0.2">
      <c r="A30" s="35">
        <v>4</v>
      </c>
      <c r="B30" s="36">
        <v>0</v>
      </c>
      <c r="C30" s="37" t="s">
        <v>163</v>
      </c>
      <c r="D30" s="37" t="s">
        <v>153</v>
      </c>
      <c r="E30" s="37" t="s">
        <v>164</v>
      </c>
      <c r="F30" s="37" t="s">
        <v>90</v>
      </c>
      <c r="G30" s="38">
        <f>$Y$28*B30/100</f>
        <v>0</v>
      </c>
      <c r="H30" s="38">
        <f>IF(D30="Імпорт товарів кінцевого споживання",G30*$R$4/100,0)</f>
        <v>0</v>
      </c>
      <c r="I30" s="38">
        <f>IF(D30="Імпорт сировини й напівфабрикатів",G30*$R$5/100,0)</f>
        <v>0</v>
      </c>
      <c r="J30" s="39">
        <f>$D$5</f>
        <v>21.647908091545101</v>
      </c>
      <c r="K30" s="38">
        <f>G30*J30/100</f>
        <v>0</v>
      </c>
      <c r="L30" s="38">
        <f>G30+H30+I30+K30</f>
        <v>0</v>
      </c>
      <c r="M30" s="39">
        <f>$AC$5</f>
        <v>25</v>
      </c>
      <c r="N30" s="38">
        <f>L30*M30/100</f>
        <v>0</v>
      </c>
      <c r="O30" s="38">
        <f>L30+N30</f>
        <v>0</v>
      </c>
      <c r="P30" s="38">
        <f>IF(OR(E30="Оптова торгівля",E30="Імпорт + оптовий продаж"),O30*$R$6/100,0)</f>
        <v>0</v>
      </c>
      <c r="Q30" s="38">
        <f>IF(E30="Виробництво",O30*$R$7/100,0)</f>
        <v>0</v>
      </c>
      <c r="R30" s="38">
        <f>IF(E30="Роздрібна торгівля",O30*$R$8/100,0)</f>
        <v>0</v>
      </c>
      <c r="S30" s="38">
        <f>IF(E30="Експорт товарів і напівфабрикатів",O30*$X$4/100,0)</f>
        <v>0</v>
      </c>
      <c r="T30" s="38">
        <f>IF(E30="Експорт сировини",O30*$X$5/100,0)</f>
        <v>0</v>
      </c>
      <c r="U30" s="38">
        <f>O30+P30+Q30+R30+S30+T30</f>
        <v>0</v>
      </c>
      <c r="V30" s="38">
        <f>N30</f>
        <v>0</v>
      </c>
      <c r="W30" s="38">
        <f>H30+I30+P30+Q30+R30+S30+T30</f>
        <v>0</v>
      </c>
      <c r="X30" s="38">
        <f>IF(OR(F30="Кінцеве споживання",F30="Експорт"),U30,0)</f>
        <v>0</v>
      </c>
      <c r="Y30" s="38">
        <f>IF(F30="Перехід",U30,0)</f>
        <v>0</v>
      </c>
      <c r="Z30" s="39">
        <f>IF($D$8=0,0,SUM($X$11:X13,$X$16:X20,$X$23:X27,$X$30:X30)/$D$8*100-100)</f>
        <v>77.800467780566862</v>
      </c>
      <c r="AA30" s="39"/>
      <c r="AB30" s="38">
        <f>U30</f>
        <v>0</v>
      </c>
      <c r="AC30" s="37" t="s">
        <v>98</v>
      </c>
      <c r="AD30" s="39">
        <f>IF($AB$41=0,0,AB30/$AB$41*100)</f>
        <v>0</v>
      </c>
      <c r="AE30" s="40"/>
      <c r="AF30" s="40"/>
      <c r="AG30" s="40"/>
      <c r="AH30" s="40"/>
      <c r="AI30" s="27"/>
      <c r="AJ30" s="27"/>
      <c r="AK30" s="27"/>
    </row>
    <row r="31" spans="1:37" ht="21.75" customHeight="1" x14ac:dyDescent="0.2">
      <c r="A31" s="35">
        <v>4</v>
      </c>
      <c r="B31" s="36">
        <v>100</v>
      </c>
      <c r="C31" s="37" t="s">
        <v>160</v>
      </c>
      <c r="D31" s="37" t="s">
        <v>153</v>
      </c>
      <c r="E31" s="37" t="s">
        <v>161</v>
      </c>
      <c r="F31" s="37" t="s">
        <v>75</v>
      </c>
      <c r="G31" s="38">
        <f>$Y$28*B31/100</f>
        <v>734.41705374780418</v>
      </c>
      <c r="H31" s="38">
        <f>IF(D31="Імпорт товарів кінцевого споживання",G31*$R$4/100,0)</f>
        <v>0</v>
      </c>
      <c r="I31" s="38">
        <f>IF(D31="Імпорт сировини й напівфабрикатів",G31*$R$5/100,0)</f>
        <v>0</v>
      </c>
      <c r="J31" s="39">
        <f>$D$5</f>
        <v>21.647908091545101</v>
      </c>
      <c r="K31" s="38">
        <f>G31*J31/100</f>
        <v>158.98592880395802</v>
      </c>
      <c r="L31" s="38">
        <f>G31+H31+I31+K31</f>
        <v>893.40298255176219</v>
      </c>
      <c r="M31" s="39">
        <f>$X$7</f>
        <v>11.3104239756686</v>
      </c>
      <c r="N31" s="38">
        <f>L31*M31/100</f>
        <v>101.04766513787287</v>
      </c>
      <c r="O31" s="38">
        <f>L31+N31</f>
        <v>994.45064768963505</v>
      </c>
      <c r="P31" s="38">
        <f>IF(OR(E31="Оптова торгівля",E31="Імпорт + оптовий продаж"),O31*$R$6/100,0)</f>
        <v>38.783575259895763</v>
      </c>
      <c r="Q31" s="38">
        <f>IF(E31="Виробництво",O31*$R$7/100,0)</f>
        <v>0</v>
      </c>
      <c r="R31" s="38">
        <f>IF(E31="Роздрібна торгівля",O31*$R$8/100,0)</f>
        <v>0</v>
      </c>
      <c r="S31" s="38">
        <f>IF(E31="Експорт товарів і напівфабрикатів",O31*$X$4/100,0)</f>
        <v>0</v>
      </c>
      <c r="T31" s="38">
        <f>IF(E31="Експорт сировини",O31*$X$5/100,0)</f>
        <v>0</v>
      </c>
      <c r="U31" s="38">
        <f>O31+P31+Q31+R31+S31+T31</f>
        <v>1033.2342229495307</v>
      </c>
      <c r="V31" s="38">
        <f>N31</f>
        <v>101.04766513787287</v>
      </c>
      <c r="W31" s="38">
        <f>H31+I31+P31+Q31+R31+S31+T31</f>
        <v>38.783575259895763</v>
      </c>
      <c r="X31" s="38">
        <f>IF(OR(F31="Кінцеве споживання",F31="Експорт"),U31,0)</f>
        <v>0</v>
      </c>
      <c r="Y31" s="38">
        <f>IF(F31="Перехід",U31,0)</f>
        <v>1033.2342229495307</v>
      </c>
      <c r="Z31" s="39">
        <f>IF($D$8=0,0,SUM($X$11:X13,$X$16:X20,$X$23:X27,$X$30:X31)/$D$8*100-100)</f>
        <v>77.800467780566862</v>
      </c>
      <c r="AA31" s="39"/>
      <c r="AB31" s="38">
        <f>U31</f>
        <v>1033.2342229495307</v>
      </c>
      <c r="AC31" s="37" t="s">
        <v>162</v>
      </c>
      <c r="AD31" s="39">
        <f>IF($AB$41=0,0,AB31/$AB$41*100)</f>
        <v>8.3219496971694564</v>
      </c>
      <c r="AE31" s="40"/>
      <c r="AF31" s="40"/>
      <c r="AG31" s="40"/>
      <c r="AH31" s="40"/>
      <c r="AI31" s="27"/>
      <c r="AJ31" s="27"/>
      <c r="AK31" s="27"/>
    </row>
    <row r="32" spans="1:37" ht="21.75" customHeight="1" x14ac:dyDescent="0.2">
      <c r="A32" s="41">
        <v>4</v>
      </c>
      <c r="B32" s="42">
        <f>SUM(B30:B31)</f>
        <v>100</v>
      </c>
      <c r="C32" s="43" t="s">
        <v>99</v>
      </c>
      <c r="D32" s="43" t="s">
        <v>85</v>
      </c>
      <c r="E32" s="43" t="s">
        <v>85</v>
      </c>
      <c r="F32" s="43" t="s">
        <v>85</v>
      </c>
      <c r="G32" s="44">
        <f>SUM(G30:G31)</f>
        <v>734.41705374780418</v>
      </c>
      <c r="H32" s="44">
        <f>SUM(H30:H31)</f>
        <v>0</v>
      </c>
      <c r="I32" s="44">
        <f>SUM(I30:I31)</f>
        <v>0</v>
      </c>
      <c r="J32" s="42"/>
      <c r="K32" s="44">
        <f>SUM(K30:K31)</f>
        <v>158.98592880395802</v>
      </c>
      <c r="L32" s="44">
        <f>SUM(L30:L31)</f>
        <v>893.40298255176219</v>
      </c>
      <c r="M32" s="42"/>
      <c r="N32" s="44">
        <f t="shared" ref="N32:Y32" si="3">SUM(N30:N31)</f>
        <v>101.04766513787287</v>
      </c>
      <c r="O32" s="44">
        <f t="shared" si="3"/>
        <v>994.45064768963505</v>
      </c>
      <c r="P32" s="44">
        <f t="shared" si="3"/>
        <v>38.783575259895763</v>
      </c>
      <c r="Q32" s="44">
        <f t="shared" si="3"/>
        <v>0</v>
      </c>
      <c r="R32" s="44">
        <f t="shared" si="3"/>
        <v>0</v>
      </c>
      <c r="S32" s="44">
        <f t="shared" si="3"/>
        <v>0</v>
      </c>
      <c r="T32" s="44">
        <f t="shared" si="3"/>
        <v>0</v>
      </c>
      <c r="U32" s="44">
        <f t="shared" si="3"/>
        <v>1033.2342229495307</v>
      </c>
      <c r="V32" s="44">
        <f t="shared" si="3"/>
        <v>101.04766513787287</v>
      </c>
      <c r="W32" s="44">
        <f t="shared" si="3"/>
        <v>38.783575259895763</v>
      </c>
      <c r="X32" s="44">
        <f t="shared" si="3"/>
        <v>0</v>
      </c>
      <c r="Y32" s="44">
        <f t="shared" si="3"/>
        <v>1033.2342229495307</v>
      </c>
      <c r="Z32" s="42">
        <f>IF($D$8=0,0,SUM($X$11:X13,$X$16:X20,$X$23:X27,$X$30:X31)/$D$8*100-100)</f>
        <v>77.800467780566862</v>
      </c>
      <c r="AA32" s="42" t="str">
        <f>IF(ABS(SUM(B30:B31)-100)&lt;0.01,"ОК","ПОМИЛКА")</f>
        <v>ОК</v>
      </c>
      <c r="AB32" s="44">
        <f>SUM(AB30:AB31)</f>
        <v>1033.2342229495307</v>
      </c>
      <c r="AC32" s="43"/>
      <c r="AD32" s="42"/>
      <c r="AE32" s="40"/>
      <c r="AF32" s="40"/>
      <c r="AG32" s="40"/>
      <c r="AH32" s="40"/>
      <c r="AI32" s="27"/>
      <c r="AJ32" s="27"/>
      <c r="AK32" s="27"/>
    </row>
    <row r="33" spans="1:37" ht="21.75" customHeight="1" x14ac:dyDescent="0.2">
      <c r="A33" s="35"/>
      <c r="B33" s="39"/>
      <c r="C33" s="37"/>
      <c r="D33" s="37"/>
      <c r="E33" s="37"/>
      <c r="F33" s="37"/>
      <c r="G33" s="38"/>
      <c r="H33" s="38"/>
      <c r="I33" s="38"/>
      <c r="J33" s="39"/>
      <c r="K33" s="38"/>
      <c r="L33" s="38"/>
      <c r="M33" s="39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9"/>
      <c r="AA33" s="39"/>
      <c r="AB33" s="38"/>
      <c r="AC33" s="37"/>
      <c r="AD33" s="39"/>
      <c r="AE33" s="40"/>
      <c r="AF33" s="40"/>
      <c r="AG33" s="40"/>
      <c r="AH33" s="40"/>
      <c r="AI33" s="27"/>
      <c r="AJ33" s="27"/>
      <c r="AK33" s="27"/>
    </row>
    <row r="34" spans="1:37" ht="21.75" customHeight="1" x14ac:dyDescent="0.2">
      <c r="A34" s="35">
        <v>5</v>
      </c>
      <c r="B34" s="36">
        <v>100</v>
      </c>
      <c r="C34" s="37" t="s">
        <v>163</v>
      </c>
      <c r="D34" s="37" t="s">
        <v>153</v>
      </c>
      <c r="E34" s="37" t="s">
        <v>164</v>
      </c>
      <c r="F34" s="37" t="s">
        <v>90</v>
      </c>
      <c r="G34" s="38">
        <f>$Y$32*B34/100</f>
        <v>1033.2342229495307</v>
      </c>
      <c r="H34" s="38">
        <f>IF(D34="Імпорт товарів кінцевого споживання",G34*$R$4/100,0)</f>
        <v>0</v>
      </c>
      <c r="I34" s="38">
        <f>IF(D34="Імпорт сировини й напівфабрикатів",G34*$R$5/100,0)</f>
        <v>0</v>
      </c>
      <c r="J34" s="39">
        <f>$D$5</f>
        <v>21.647908091545101</v>
      </c>
      <c r="K34" s="38">
        <f>G34*J34/100</f>
        <v>223.67359495450464</v>
      </c>
      <c r="L34" s="38">
        <f>G34+H34+I34+K34</f>
        <v>1256.9078179040353</v>
      </c>
      <c r="M34" s="39">
        <f>$AC$5</f>
        <v>25</v>
      </c>
      <c r="N34" s="38">
        <f>L34*M34/100</f>
        <v>314.22695447600881</v>
      </c>
      <c r="O34" s="38">
        <f>L34+N34</f>
        <v>1571.1347723800441</v>
      </c>
      <c r="P34" s="38">
        <f>IF(OR(E34="Оптова торгівля",E34="Імпорт + оптовий продаж"),O34*$R$6/100,0)</f>
        <v>0</v>
      </c>
      <c r="Q34" s="38">
        <f>IF(E34="Виробництво",O34*$R$7/100,0)</f>
        <v>0</v>
      </c>
      <c r="R34" s="38">
        <f>IF(E34="Роздрібна торгівля",O34*$R$8/100,0)</f>
        <v>102.12376020470286</v>
      </c>
      <c r="S34" s="38">
        <f>IF(E34="Експорт товарів і напівфабрикатів",O34*$X$4/100,0)</f>
        <v>0</v>
      </c>
      <c r="T34" s="38">
        <f>IF(E34="Експорт сировини",O34*$X$5/100,0)</f>
        <v>0</v>
      </c>
      <c r="U34" s="38">
        <f>O34+P34+Q34+R34+S34+T34</f>
        <v>1673.2585325847469</v>
      </c>
      <c r="V34" s="38">
        <f>N34</f>
        <v>314.22695447600881</v>
      </c>
      <c r="W34" s="38">
        <f>H34+I34+P34+Q34+R34+S34+T34</f>
        <v>102.12376020470286</v>
      </c>
      <c r="X34" s="38">
        <f>IF(OR(F34="Кінцеве споживання",F34="Експорт"),U34,0)</f>
        <v>1673.2585325847469</v>
      </c>
      <c r="Y34" s="38">
        <f>IF(F34="Перехід",U34,0)</f>
        <v>0</v>
      </c>
      <c r="Z34" s="39">
        <f>IF($D$8=0,0,SUM($X$11:X13,$X$16:X20,$X$23:X27,$X$30:X31,$X$34:X34)/$D$8*100-100)</f>
        <v>165.20063212012269</v>
      </c>
      <c r="AA34" s="39"/>
      <c r="AB34" s="38">
        <f>U34</f>
        <v>1673.2585325847469</v>
      </c>
      <c r="AC34" s="37" t="s">
        <v>98</v>
      </c>
      <c r="AD34" s="39">
        <f>IF($AB$41=0,0,AB34/$AB$41*100)</f>
        <v>13.476879713468426</v>
      </c>
      <c r="AE34" s="40"/>
      <c r="AF34" s="40"/>
      <c r="AG34" s="40"/>
      <c r="AH34" s="40"/>
      <c r="AI34" s="27"/>
      <c r="AJ34" s="27"/>
      <c r="AK34" s="27"/>
    </row>
    <row r="35" spans="1:37" ht="21.75" customHeight="1" x14ac:dyDescent="0.2">
      <c r="A35" s="35">
        <v>5</v>
      </c>
      <c r="B35" s="36">
        <v>0</v>
      </c>
      <c r="C35" s="37" t="s">
        <v>160</v>
      </c>
      <c r="D35" s="37" t="s">
        <v>153</v>
      </c>
      <c r="E35" s="37" t="s">
        <v>161</v>
      </c>
      <c r="F35" s="37" t="s">
        <v>75</v>
      </c>
      <c r="G35" s="38">
        <f>$Y$32*B35/100</f>
        <v>0</v>
      </c>
      <c r="H35" s="38">
        <f>IF(D35="Імпорт товарів кінцевого споживання",G35*$R$4/100,0)</f>
        <v>0</v>
      </c>
      <c r="I35" s="38">
        <f>IF(D35="Імпорт сировини й напівфабрикатів",G35*$R$5/100,0)</f>
        <v>0</v>
      </c>
      <c r="J35" s="39">
        <f>$D$5</f>
        <v>21.647908091545101</v>
      </c>
      <c r="K35" s="38">
        <f>G35*J35/100</f>
        <v>0</v>
      </c>
      <c r="L35" s="38">
        <f>G35+H35+I35+K35</f>
        <v>0</v>
      </c>
      <c r="M35" s="39">
        <f>$X$7</f>
        <v>11.3104239756686</v>
      </c>
      <c r="N35" s="38">
        <f>L35*M35/100</f>
        <v>0</v>
      </c>
      <c r="O35" s="38">
        <f>L35+N35</f>
        <v>0</v>
      </c>
      <c r="P35" s="38">
        <f>IF(OR(E35="Оптова торгівля",E35="Імпорт + оптовий продаж"),O35*$R$6/100,0)</f>
        <v>0</v>
      </c>
      <c r="Q35" s="38">
        <f>IF(E35="Виробництво",O35*$R$7/100,0)</f>
        <v>0</v>
      </c>
      <c r="R35" s="38">
        <f>IF(E35="Роздрібна торгівля",O35*$R$8/100,0)</f>
        <v>0</v>
      </c>
      <c r="S35" s="38">
        <f>IF(E35="Експорт товарів і напівфабрикатів",O35*$X$4/100,0)</f>
        <v>0</v>
      </c>
      <c r="T35" s="38">
        <f>IF(E35="Експорт сировини",O35*$X$5/100,0)</f>
        <v>0</v>
      </c>
      <c r="U35" s="38">
        <f>O35+P35+Q35+R35+S35+T35</f>
        <v>0</v>
      </c>
      <c r="V35" s="38">
        <f>N35</f>
        <v>0</v>
      </c>
      <c r="W35" s="38">
        <f>H35+I35+P35+Q35+R35+S35+T35</f>
        <v>0</v>
      </c>
      <c r="X35" s="38">
        <f>IF(OR(F35="Кінцеве споживання",F35="Експорт"),U35,0)</f>
        <v>0</v>
      </c>
      <c r="Y35" s="38">
        <f>IF(F35="Перехід",U35,0)</f>
        <v>0</v>
      </c>
      <c r="Z35" s="39">
        <f>IF($D$8=0,0,SUM($X$11:X13,$X$16:X20,$X$23:X27,$X$30:X31,$X$34:X35)/$D$8*100-100)</f>
        <v>165.20063212012269</v>
      </c>
      <c r="AA35" s="39"/>
      <c r="AB35" s="38">
        <f>U35</f>
        <v>0</v>
      </c>
      <c r="AC35" s="37" t="s">
        <v>162</v>
      </c>
      <c r="AD35" s="39">
        <f>IF($AB$41=0,0,AB35/$AB$41*100)</f>
        <v>0</v>
      </c>
      <c r="AE35" s="40"/>
      <c r="AF35" s="40"/>
      <c r="AG35" s="40"/>
      <c r="AH35" s="40"/>
      <c r="AI35" s="27"/>
      <c r="AJ35" s="27"/>
      <c r="AK35" s="27"/>
    </row>
    <row r="36" spans="1:37" ht="21.75" customHeight="1" x14ac:dyDescent="0.2">
      <c r="A36" s="41">
        <v>5</v>
      </c>
      <c r="B36" s="42">
        <f>SUM(B34:B35)</f>
        <v>100</v>
      </c>
      <c r="C36" s="43" t="s">
        <v>101</v>
      </c>
      <c r="D36" s="43" t="s">
        <v>85</v>
      </c>
      <c r="E36" s="43" t="s">
        <v>85</v>
      </c>
      <c r="F36" s="43" t="s">
        <v>85</v>
      </c>
      <c r="G36" s="44">
        <f>SUM(G34:G35)</f>
        <v>1033.2342229495307</v>
      </c>
      <c r="H36" s="44">
        <f>SUM(H34:H35)</f>
        <v>0</v>
      </c>
      <c r="I36" s="44">
        <f>SUM(I34:I35)</f>
        <v>0</v>
      </c>
      <c r="J36" s="42"/>
      <c r="K36" s="44">
        <f>SUM(K34:K35)</f>
        <v>223.67359495450464</v>
      </c>
      <c r="L36" s="44">
        <f>SUM(L34:L35)</f>
        <v>1256.9078179040353</v>
      </c>
      <c r="M36" s="42"/>
      <c r="N36" s="44">
        <f t="shared" ref="N36:Y36" si="4">SUM(N34:N35)</f>
        <v>314.22695447600881</v>
      </c>
      <c r="O36" s="44">
        <f t="shared" si="4"/>
        <v>1571.1347723800441</v>
      </c>
      <c r="P36" s="44">
        <f t="shared" si="4"/>
        <v>0</v>
      </c>
      <c r="Q36" s="44">
        <f t="shared" si="4"/>
        <v>0</v>
      </c>
      <c r="R36" s="44">
        <f t="shared" si="4"/>
        <v>102.12376020470286</v>
      </c>
      <c r="S36" s="44">
        <f t="shared" si="4"/>
        <v>0</v>
      </c>
      <c r="T36" s="44">
        <f t="shared" si="4"/>
        <v>0</v>
      </c>
      <c r="U36" s="44">
        <f t="shared" si="4"/>
        <v>1673.2585325847469</v>
      </c>
      <c r="V36" s="44">
        <f t="shared" si="4"/>
        <v>314.22695447600881</v>
      </c>
      <c r="W36" s="44">
        <f t="shared" si="4"/>
        <v>102.12376020470286</v>
      </c>
      <c r="X36" s="44">
        <f t="shared" si="4"/>
        <v>1673.2585325847469</v>
      </c>
      <c r="Y36" s="44">
        <f t="shared" si="4"/>
        <v>0</v>
      </c>
      <c r="Z36" s="42">
        <f>IF($D$8=0,0,SUM($X$11:X13,$X$16:X20,$X$23:X27,$X$30:X31,$X$34:X35)/$D$8*100-100)</f>
        <v>165.20063212012269</v>
      </c>
      <c r="AA36" s="42" t="str">
        <f>IF(ABS(SUM(B34:B35)-100)&lt;0.01,"ОК","ПОМИЛКА")</f>
        <v>ОК</v>
      </c>
      <c r="AB36" s="44">
        <f>SUM(AB34:AB35)</f>
        <v>1673.2585325847469</v>
      </c>
      <c r="AC36" s="43"/>
      <c r="AD36" s="42"/>
      <c r="AE36" s="40"/>
      <c r="AF36" s="40"/>
      <c r="AG36" s="40"/>
      <c r="AH36" s="40"/>
      <c r="AI36" s="27"/>
      <c r="AJ36" s="27"/>
      <c r="AK36" s="27"/>
    </row>
    <row r="37" spans="1:37" ht="21.75" customHeight="1" x14ac:dyDescent="0.2">
      <c r="A37" s="35"/>
      <c r="B37" s="39"/>
      <c r="C37" s="37"/>
      <c r="D37" s="37"/>
      <c r="E37" s="37"/>
      <c r="F37" s="37"/>
      <c r="G37" s="38"/>
      <c r="H37" s="38"/>
      <c r="I37" s="38"/>
      <c r="J37" s="39"/>
      <c r="K37" s="38"/>
      <c r="L37" s="38"/>
      <c r="M37" s="39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9"/>
      <c r="AA37" s="39"/>
      <c r="AB37" s="38"/>
      <c r="AC37" s="37"/>
      <c r="AD37" s="39"/>
      <c r="AE37" s="40"/>
      <c r="AF37" s="40"/>
      <c r="AG37" s="40"/>
      <c r="AH37" s="40"/>
      <c r="AI37" s="27"/>
      <c r="AJ37" s="27"/>
      <c r="AK37" s="27"/>
    </row>
    <row r="38" spans="1:37" ht="21.75" customHeight="1" x14ac:dyDescent="0.2">
      <c r="A38" s="35">
        <v>6</v>
      </c>
      <c r="B38" s="36">
        <v>100</v>
      </c>
      <c r="C38" s="37" t="s">
        <v>163</v>
      </c>
      <c r="D38" s="37" t="s">
        <v>153</v>
      </c>
      <c r="E38" s="37" t="s">
        <v>164</v>
      </c>
      <c r="F38" s="37" t="s">
        <v>90</v>
      </c>
      <c r="G38" s="38">
        <f>$Y$36*B38/100</f>
        <v>0</v>
      </c>
      <c r="H38" s="38">
        <f>IF(D38="Імпорт товарів кінцевого споживання",G38*$R$4/100,0)</f>
        <v>0</v>
      </c>
      <c r="I38" s="38">
        <f>IF(D38="Імпорт сировини й напівфабрикатів",G38*$R$5/100,0)</f>
        <v>0</v>
      </c>
      <c r="J38" s="39">
        <f>$D$5</f>
        <v>21.647908091545101</v>
      </c>
      <c r="K38" s="38">
        <f>G38*J38/100</f>
        <v>0</v>
      </c>
      <c r="L38" s="38">
        <f>G38+H38+I38+K38</f>
        <v>0</v>
      </c>
      <c r="M38" s="39">
        <f>$AC$5</f>
        <v>25</v>
      </c>
      <c r="N38" s="38">
        <f>L38*M38/100</f>
        <v>0</v>
      </c>
      <c r="O38" s="38">
        <f>L38+N38</f>
        <v>0</v>
      </c>
      <c r="P38" s="38">
        <f>IF(OR(E38="Оптова торгівля",E38="Імпорт + оптовий продаж"),O38*$R$6/100,0)</f>
        <v>0</v>
      </c>
      <c r="Q38" s="38">
        <f>IF(E38="Виробництво",O38*$R$7/100,0)</f>
        <v>0</v>
      </c>
      <c r="R38" s="38">
        <f>IF(E38="Роздрібна торгівля",O38*$R$8/100,0)</f>
        <v>0</v>
      </c>
      <c r="S38" s="38">
        <f>IF(E38="Експорт товарів і напівфабрикатів",O38*$X$4/100,0)</f>
        <v>0</v>
      </c>
      <c r="T38" s="38">
        <f>IF(E38="Експорт сировини",O38*$X$5/100,0)</f>
        <v>0</v>
      </c>
      <c r="U38" s="38">
        <f>O38+P38+Q38+R38+S38+T38</f>
        <v>0</v>
      </c>
      <c r="V38" s="38">
        <f>N38</f>
        <v>0</v>
      </c>
      <c r="W38" s="38">
        <f>H38+I38+P38+Q38+R38+S38+T38</f>
        <v>0</v>
      </c>
      <c r="X38" s="38">
        <f>IF(OR(F38="Кінцеве споживання",F38="Експорт"),U38,0)</f>
        <v>0</v>
      </c>
      <c r="Y38" s="38">
        <f>IF(F38="Перехід",U38,0)</f>
        <v>0</v>
      </c>
      <c r="Z38" s="39">
        <f>IF($D$8=0,0,SUM($X$11:X13,$X$16:X20,$X$23:X27,$X$30:X31,$X$34:X35,$X$38:X38)/$D$8*100-100)</f>
        <v>165.20063212012269</v>
      </c>
      <c r="AA38" s="39"/>
      <c r="AB38" s="38">
        <f>U38</f>
        <v>0</v>
      </c>
      <c r="AC38" s="37" t="s">
        <v>98</v>
      </c>
      <c r="AD38" s="39">
        <f>IF($AB$41=0,0,AB38/$AB$41*100)</f>
        <v>0</v>
      </c>
      <c r="AE38" s="40"/>
      <c r="AF38" s="40"/>
      <c r="AG38" s="40"/>
      <c r="AH38" s="40"/>
      <c r="AI38" s="27"/>
      <c r="AJ38" s="27"/>
      <c r="AK38" s="27"/>
    </row>
    <row r="39" spans="1:37" ht="21.75" customHeight="1" x14ac:dyDescent="0.2">
      <c r="A39" s="41">
        <v>6</v>
      </c>
      <c r="B39" s="42">
        <f>SUM(B38)</f>
        <v>100</v>
      </c>
      <c r="C39" s="43" t="s">
        <v>102</v>
      </c>
      <c r="D39" s="43" t="s">
        <v>85</v>
      </c>
      <c r="E39" s="43" t="s">
        <v>85</v>
      </c>
      <c r="F39" s="43" t="s">
        <v>85</v>
      </c>
      <c r="G39" s="44">
        <f>SUM(G38)</f>
        <v>0</v>
      </c>
      <c r="H39" s="44">
        <f>SUM(H38)</f>
        <v>0</v>
      </c>
      <c r="I39" s="44">
        <f>SUM(I38)</f>
        <v>0</v>
      </c>
      <c r="J39" s="42"/>
      <c r="K39" s="44">
        <f>SUM(K38)</f>
        <v>0</v>
      </c>
      <c r="L39" s="44">
        <f>SUM(L38)</f>
        <v>0</v>
      </c>
      <c r="M39" s="42"/>
      <c r="N39" s="44">
        <f t="shared" ref="N39:Y39" si="5">SUM(N38)</f>
        <v>0</v>
      </c>
      <c r="O39" s="44">
        <f t="shared" si="5"/>
        <v>0</v>
      </c>
      <c r="P39" s="44">
        <f t="shared" si="5"/>
        <v>0</v>
      </c>
      <c r="Q39" s="44">
        <f t="shared" si="5"/>
        <v>0</v>
      </c>
      <c r="R39" s="44">
        <f t="shared" si="5"/>
        <v>0</v>
      </c>
      <c r="S39" s="44">
        <f t="shared" si="5"/>
        <v>0</v>
      </c>
      <c r="T39" s="44">
        <f t="shared" si="5"/>
        <v>0</v>
      </c>
      <c r="U39" s="44">
        <f t="shared" si="5"/>
        <v>0</v>
      </c>
      <c r="V39" s="44">
        <f t="shared" si="5"/>
        <v>0</v>
      </c>
      <c r="W39" s="44">
        <f t="shared" si="5"/>
        <v>0</v>
      </c>
      <c r="X39" s="44">
        <f t="shared" si="5"/>
        <v>0</v>
      </c>
      <c r="Y39" s="44">
        <f t="shared" si="5"/>
        <v>0</v>
      </c>
      <c r="Z39" s="42">
        <f>IF($D$8=0,0,SUM($X$11:X13,$X$16:X20,$X$23:X27,$X$30:X31,$X$34:X35,$X$38:X38)/$D$8*100-100)</f>
        <v>165.20063212012269</v>
      </c>
      <c r="AA39" s="42" t="str">
        <f>IF(ABS(SUM(B38)-100)&lt;0.01,"ОК","ПОМИЛКА")</f>
        <v>ОК</v>
      </c>
      <c r="AB39" s="44">
        <f>SUM(AB38)</f>
        <v>0</v>
      </c>
      <c r="AC39" s="43"/>
      <c r="AD39" s="42"/>
      <c r="AE39" s="40"/>
      <c r="AF39" s="40"/>
      <c r="AG39" s="40"/>
      <c r="AH39" s="40"/>
      <c r="AI39" s="27"/>
      <c r="AJ39" s="27"/>
      <c r="AK39" s="27"/>
    </row>
    <row r="40" spans="1:37" ht="21.75" customHeight="1" x14ac:dyDescent="0.2">
      <c r="A40" s="35"/>
      <c r="B40" s="39"/>
      <c r="C40" s="37"/>
      <c r="D40" s="37"/>
      <c r="E40" s="37"/>
      <c r="F40" s="37"/>
      <c r="G40" s="38"/>
      <c r="H40" s="38"/>
      <c r="I40" s="38"/>
      <c r="J40" s="39"/>
      <c r="K40" s="38"/>
      <c r="L40" s="38"/>
      <c r="M40" s="39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9"/>
      <c r="AA40" s="39"/>
      <c r="AB40" s="38"/>
      <c r="AC40" s="37"/>
      <c r="AD40" s="39"/>
      <c r="AE40" s="40"/>
      <c r="AF40" s="40"/>
      <c r="AG40" s="40"/>
      <c r="AH40" s="40"/>
      <c r="AI40" s="27"/>
      <c r="AJ40" s="27"/>
      <c r="AK40" s="27"/>
    </row>
    <row r="41" spans="1:37" ht="21.75" customHeight="1" x14ac:dyDescent="0.2">
      <c r="A41" s="53"/>
      <c r="B41" s="54">
        <f>B14+B21+B28+B32+B36+B39</f>
        <v>600.00000000000023</v>
      </c>
      <c r="C41" s="55" t="s">
        <v>103</v>
      </c>
      <c r="D41" s="55"/>
      <c r="E41" s="55"/>
      <c r="F41" s="55" t="s">
        <v>85</v>
      </c>
      <c r="G41" s="56">
        <f>G14+G21+G28+G32+G36+G39</f>
        <v>9253.0382606927596</v>
      </c>
      <c r="H41" s="56">
        <f>H14+H21+H28+H32+H36+H39</f>
        <v>92.908580813574005</v>
      </c>
      <c r="I41" s="56">
        <f>I14+I21+I28+I32+I36+I39</f>
        <v>0</v>
      </c>
      <c r="J41" s="54"/>
      <c r="K41" s="56">
        <f>K14+K21+K28+K32+K36+K39</f>
        <v>2003.0892183502719</v>
      </c>
      <c r="L41" s="56">
        <f>L14+L21+L28+L32+L36+L39</f>
        <v>11349.036059856606</v>
      </c>
      <c r="M41" s="54"/>
      <c r="N41" s="56">
        <f t="shared" ref="N41:Y41" si="6">N14+N21+N28+N32+N36+N39</f>
        <v>639.68340012682256</v>
      </c>
      <c r="O41" s="56">
        <f t="shared" si="6"/>
        <v>11988.719459983427</v>
      </c>
      <c r="P41" s="56">
        <f t="shared" si="6"/>
        <v>157.55688700162281</v>
      </c>
      <c r="Q41" s="56">
        <f t="shared" si="6"/>
        <v>132.1002329605725</v>
      </c>
      <c r="R41" s="56">
        <f t="shared" si="6"/>
        <v>102.12376020470286</v>
      </c>
      <c r="S41" s="56">
        <f t="shared" si="6"/>
        <v>18.672739258466294</v>
      </c>
      <c r="T41" s="56">
        <f t="shared" si="6"/>
        <v>16.597990451970094</v>
      </c>
      <c r="U41" s="56">
        <f t="shared" si="6"/>
        <v>12415.771069860763</v>
      </c>
      <c r="V41" s="56">
        <f t="shared" si="6"/>
        <v>639.68340012682256</v>
      </c>
      <c r="W41" s="56">
        <f t="shared" si="6"/>
        <v>519.96019069090858</v>
      </c>
      <c r="X41" s="56">
        <f t="shared" si="6"/>
        <v>5077.2126562355943</v>
      </c>
      <c r="Y41" s="56">
        <f t="shared" si="6"/>
        <v>7338.5584136251682</v>
      </c>
      <c r="Z41" s="54">
        <f>IF($D$8=0,0,X41/$D$8*100-100)</f>
        <v>165.20063212012269</v>
      </c>
      <c r="AA41" s="54" t="str">
        <f>IF(AND(AA14="ОК",AA21="ОК",AA28="ОК",AA32="ОК",AA36="ОК",AA39="ОК"),"ОК","ПОМИЛКА")</f>
        <v>ОК</v>
      </c>
      <c r="AB41" s="56">
        <f>AB14+AB21+AB28+AB32+AB36+AB39</f>
        <v>12415.771069860763</v>
      </c>
      <c r="AC41" s="55"/>
      <c r="AD41" s="54">
        <f>SUM(AD11:AD40)</f>
        <v>100.00000000000001</v>
      </c>
      <c r="AE41" s="40"/>
      <c r="AF41" s="40"/>
      <c r="AG41" s="40"/>
      <c r="AH41" s="40"/>
      <c r="AI41" s="27"/>
      <c r="AJ41" s="27"/>
      <c r="AK41" s="27"/>
    </row>
    <row r="42" spans="1:37" s="63" customFormat="1" ht="14.25" customHeight="1" x14ac:dyDescent="0.2">
      <c r="A42" s="57"/>
      <c r="B42" s="58"/>
      <c r="C42" s="59"/>
      <c r="D42" s="59"/>
      <c r="E42" s="59"/>
      <c r="F42" s="59"/>
      <c r="G42" s="60"/>
      <c r="H42" s="60"/>
      <c r="I42" s="60"/>
      <c r="J42" s="58"/>
      <c r="K42" s="60"/>
      <c r="L42" s="60"/>
      <c r="M42" s="58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58"/>
      <c r="AA42" s="58"/>
      <c r="AB42" s="60"/>
      <c r="AC42" s="59"/>
      <c r="AD42" s="58"/>
      <c r="AE42" s="61"/>
      <c r="AF42" s="61"/>
      <c r="AG42" s="61"/>
      <c r="AH42" s="61"/>
      <c r="AI42" s="62"/>
      <c r="AJ42" s="62"/>
      <c r="AK42" s="62"/>
    </row>
    <row r="43" spans="1:37" s="63" customFormat="1" ht="14.25" customHeight="1" x14ac:dyDescent="0.2">
      <c r="A43" s="57"/>
      <c r="B43" s="58"/>
      <c r="C43" s="59"/>
      <c r="D43" s="59"/>
      <c r="E43" s="59"/>
      <c r="F43" s="59"/>
      <c r="G43" s="60"/>
      <c r="H43" s="60"/>
      <c r="I43" s="60"/>
      <c r="J43" s="58"/>
      <c r="K43" s="60"/>
      <c r="L43" s="60"/>
      <c r="M43" s="58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58"/>
      <c r="AA43" s="58"/>
      <c r="AB43" s="60"/>
      <c r="AC43" s="59"/>
      <c r="AD43" s="58"/>
      <c r="AE43" s="61"/>
      <c r="AF43" s="61"/>
      <c r="AG43" s="61"/>
      <c r="AH43" s="61"/>
      <c r="AI43" s="62"/>
      <c r="AJ43" s="62"/>
      <c r="AK43" s="62"/>
    </row>
    <row r="44" spans="1:37" s="63" customFormat="1" ht="14.25" customHeight="1" x14ac:dyDescent="0.2">
      <c r="A44" s="57"/>
      <c r="B44" s="58"/>
      <c r="C44" s="59"/>
      <c r="D44" s="59"/>
      <c r="E44" s="59"/>
      <c r="F44" s="59"/>
      <c r="G44" s="60"/>
      <c r="H44" s="60"/>
      <c r="I44" s="60"/>
      <c r="J44" s="58"/>
      <c r="K44" s="60"/>
      <c r="L44" s="60"/>
      <c r="M44" s="58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58"/>
      <c r="AA44" s="58"/>
      <c r="AB44" s="60"/>
      <c r="AC44" s="59"/>
      <c r="AD44" s="58"/>
      <c r="AE44" s="61"/>
      <c r="AF44" s="61"/>
      <c r="AG44" s="61"/>
      <c r="AH44" s="61"/>
      <c r="AI44" s="62"/>
      <c r="AJ44" s="62"/>
      <c r="AK44" s="62"/>
    </row>
    <row r="45" spans="1:37" s="63" customFormat="1" ht="14.25" customHeight="1" x14ac:dyDescent="0.2">
      <c r="A45" s="57"/>
      <c r="B45" s="58"/>
      <c r="C45" s="59"/>
      <c r="D45" s="59"/>
      <c r="E45" s="59"/>
      <c r="F45" s="59"/>
      <c r="G45" s="60"/>
      <c r="H45" s="60"/>
      <c r="I45" s="60"/>
      <c r="J45" s="58"/>
      <c r="K45" s="60"/>
      <c r="L45" s="60"/>
      <c r="M45" s="58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58"/>
      <c r="AA45" s="58"/>
      <c r="AB45" s="60"/>
      <c r="AC45" s="59"/>
      <c r="AD45" s="58"/>
      <c r="AE45" s="61"/>
      <c r="AF45" s="61"/>
      <c r="AG45" s="61"/>
      <c r="AH45" s="61"/>
      <c r="AI45" s="62"/>
      <c r="AJ45" s="62"/>
      <c r="AK45" s="62"/>
    </row>
    <row r="46" spans="1:37" s="63" customFormat="1" ht="14.25" customHeight="1" x14ac:dyDescent="0.2">
      <c r="A46" s="57"/>
      <c r="B46" s="58"/>
      <c r="C46" s="59"/>
      <c r="D46" s="59"/>
      <c r="E46" s="59"/>
      <c r="F46" s="59"/>
      <c r="G46" s="60"/>
      <c r="H46" s="60"/>
      <c r="I46" s="60"/>
      <c r="J46" s="58"/>
      <c r="K46" s="60"/>
      <c r="L46" s="60"/>
      <c r="M46" s="58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58"/>
      <c r="AA46" s="58"/>
      <c r="AB46" s="60"/>
      <c r="AC46" s="59"/>
      <c r="AD46" s="58"/>
      <c r="AE46" s="61"/>
      <c r="AF46" s="61"/>
      <c r="AG46" s="61"/>
      <c r="AH46" s="61"/>
      <c r="AI46" s="62"/>
      <c r="AJ46" s="62"/>
      <c r="AK46" s="62"/>
    </row>
    <row r="47" spans="1:37" s="63" customFormat="1" ht="14.25" customHeight="1" x14ac:dyDescent="0.2">
      <c r="A47" s="57"/>
      <c r="B47" s="58"/>
      <c r="C47" s="59"/>
      <c r="D47" s="59"/>
      <c r="E47" s="59"/>
      <c r="F47" s="59"/>
      <c r="G47" s="60"/>
      <c r="H47" s="60"/>
      <c r="I47" s="60"/>
      <c r="J47" s="58"/>
      <c r="K47" s="60"/>
      <c r="L47" s="60"/>
      <c r="M47" s="58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58"/>
      <c r="AA47" s="58"/>
      <c r="AB47" s="60"/>
      <c r="AC47" s="59"/>
      <c r="AD47" s="58"/>
      <c r="AE47" s="61"/>
      <c r="AF47" s="61"/>
      <c r="AG47" s="61"/>
      <c r="AH47" s="61"/>
      <c r="AI47" s="62"/>
      <c r="AJ47" s="62"/>
      <c r="AK47" s="62"/>
    </row>
    <row r="48" spans="1:37" s="63" customFormat="1" ht="14.25" customHeight="1" x14ac:dyDescent="0.2">
      <c r="A48" s="57"/>
      <c r="B48" s="58"/>
      <c r="C48" s="59"/>
      <c r="D48" s="59"/>
      <c r="E48" s="59"/>
      <c r="F48" s="59"/>
      <c r="G48" s="60"/>
      <c r="H48" s="60"/>
      <c r="I48" s="60"/>
      <c r="J48" s="58"/>
      <c r="K48" s="60"/>
      <c r="L48" s="60"/>
      <c r="M48" s="58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58"/>
      <c r="AA48" s="58"/>
      <c r="AB48" s="60"/>
      <c r="AC48" s="59"/>
      <c r="AD48" s="58"/>
      <c r="AE48" s="61"/>
      <c r="AF48" s="61"/>
      <c r="AG48" s="61"/>
      <c r="AH48" s="61"/>
      <c r="AI48" s="62"/>
      <c r="AJ48" s="62"/>
      <c r="AK48" s="62"/>
    </row>
    <row r="49" spans="1:37" s="63" customFormat="1" ht="14.25" customHeight="1" x14ac:dyDescent="0.2">
      <c r="A49" s="57"/>
      <c r="B49" s="58"/>
      <c r="C49" s="59"/>
      <c r="D49" s="59"/>
      <c r="E49" s="59"/>
      <c r="F49" s="59"/>
      <c r="G49" s="60"/>
      <c r="H49" s="60"/>
      <c r="I49" s="60"/>
      <c r="J49" s="58"/>
      <c r="K49" s="60"/>
      <c r="L49" s="60"/>
      <c r="M49" s="58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58"/>
      <c r="AA49" s="58"/>
      <c r="AB49" s="60"/>
      <c r="AC49" s="59"/>
      <c r="AD49" s="58"/>
      <c r="AE49" s="61"/>
      <c r="AF49" s="61"/>
      <c r="AG49" s="61"/>
      <c r="AH49" s="61"/>
      <c r="AI49" s="62"/>
      <c r="AJ49" s="62"/>
      <c r="AK49" s="62"/>
    </row>
    <row r="50" spans="1:37" s="63" customFormat="1" ht="14.25" customHeight="1" x14ac:dyDescent="0.2">
      <c r="A50" s="57"/>
      <c r="B50" s="58"/>
      <c r="C50" s="59"/>
      <c r="D50" s="59"/>
      <c r="E50" s="59"/>
      <c r="F50" s="59"/>
      <c r="G50" s="60"/>
      <c r="H50" s="60"/>
      <c r="I50" s="60"/>
      <c r="J50" s="58"/>
      <c r="K50" s="60"/>
      <c r="L50" s="60"/>
      <c r="M50" s="58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58"/>
      <c r="AA50" s="58"/>
      <c r="AB50" s="60"/>
      <c r="AC50" s="59"/>
      <c r="AD50" s="58"/>
      <c r="AE50" s="61"/>
      <c r="AF50" s="61"/>
      <c r="AG50" s="61"/>
      <c r="AH50" s="61"/>
      <c r="AI50" s="62"/>
      <c r="AJ50" s="62"/>
      <c r="AK50" s="62"/>
    </row>
    <row r="51" spans="1:37" s="63" customFormat="1" ht="14.25" customHeight="1" x14ac:dyDescent="0.2">
      <c r="A51" s="57"/>
      <c r="B51" s="58"/>
      <c r="C51" s="59"/>
      <c r="D51" s="59"/>
      <c r="E51" s="59"/>
      <c r="F51" s="59"/>
      <c r="G51" s="60"/>
      <c r="H51" s="60"/>
      <c r="I51" s="60"/>
      <c r="J51" s="58"/>
      <c r="K51" s="60"/>
      <c r="L51" s="60"/>
      <c r="M51" s="58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58"/>
      <c r="AA51" s="58"/>
      <c r="AB51" s="60"/>
      <c r="AC51" s="59"/>
      <c r="AD51" s="58"/>
      <c r="AE51" s="61"/>
      <c r="AF51" s="61"/>
      <c r="AG51" s="61"/>
      <c r="AH51" s="61"/>
      <c r="AI51" s="62"/>
      <c r="AJ51" s="62"/>
      <c r="AK51" s="62"/>
    </row>
    <row r="52" spans="1:37" s="63" customFormat="1" ht="14.25" customHeight="1" x14ac:dyDescent="0.2">
      <c r="A52" s="57"/>
      <c r="B52" s="58"/>
      <c r="C52" s="59"/>
      <c r="D52" s="59"/>
      <c r="E52" s="59"/>
      <c r="F52" s="59"/>
      <c r="G52" s="60"/>
      <c r="H52" s="60"/>
      <c r="I52" s="60"/>
      <c r="J52" s="58"/>
      <c r="K52" s="60"/>
      <c r="L52" s="60"/>
      <c r="M52" s="58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58"/>
      <c r="AA52" s="58"/>
      <c r="AB52" s="60"/>
      <c r="AC52" s="59"/>
      <c r="AD52" s="58"/>
      <c r="AE52" s="61"/>
      <c r="AF52" s="61"/>
      <c r="AG52" s="61"/>
      <c r="AH52" s="61"/>
      <c r="AI52" s="62"/>
      <c r="AJ52" s="62"/>
      <c r="AK52" s="62"/>
    </row>
    <row r="53" spans="1:37" s="63" customFormat="1" ht="14.25" customHeight="1" x14ac:dyDescent="0.2">
      <c r="A53" s="57"/>
      <c r="B53" s="58"/>
      <c r="C53" s="59"/>
      <c r="D53" s="59"/>
      <c r="E53" s="59"/>
      <c r="F53" s="59"/>
      <c r="G53" s="60"/>
      <c r="H53" s="60"/>
      <c r="I53" s="60"/>
      <c r="J53" s="58"/>
      <c r="K53" s="60"/>
      <c r="L53" s="60"/>
      <c r="M53" s="58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58"/>
      <c r="AA53" s="58"/>
      <c r="AB53" s="60"/>
      <c r="AC53" s="59"/>
      <c r="AD53" s="58"/>
      <c r="AE53" s="61"/>
      <c r="AF53" s="61"/>
      <c r="AG53" s="61"/>
      <c r="AH53" s="61"/>
      <c r="AI53" s="62"/>
      <c r="AJ53" s="62"/>
      <c r="AK53" s="62"/>
    </row>
    <row r="54" spans="1:37" s="63" customFormat="1" ht="14.25" customHeight="1" x14ac:dyDescent="0.2">
      <c r="A54" s="57"/>
      <c r="B54" s="58"/>
      <c r="C54" s="59"/>
      <c r="D54" s="59"/>
      <c r="E54" s="59"/>
      <c r="F54" s="59"/>
      <c r="G54" s="60"/>
      <c r="H54" s="60"/>
      <c r="I54" s="60"/>
      <c r="J54" s="58"/>
      <c r="K54" s="60"/>
      <c r="L54" s="60"/>
      <c r="M54" s="58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58"/>
      <c r="AA54" s="58"/>
      <c r="AB54" s="60"/>
      <c r="AC54" s="59"/>
      <c r="AD54" s="58"/>
      <c r="AE54" s="61"/>
      <c r="AF54" s="61"/>
      <c r="AG54" s="61"/>
      <c r="AH54" s="61"/>
      <c r="AI54" s="62"/>
      <c r="AJ54" s="62"/>
      <c r="AK54" s="62"/>
    </row>
    <row r="55" spans="1:37" s="63" customFormat="1" ht="14.25" customHeight="1" x14ac:dyDescent="0.2">
      <c r="A55" s="57"/>
      <c r="B55" s="58"/>
      <c r="C55" s="59"/>
      <c r="D55" s="59"/>
      <c r="E55" s="59"/>
      <c r="F55" s="59"/>
      <c r="G55" s="60"/>
      <c r="H55" s="60"/>
      <c r="I55" s="60"/>
      <c r="J55" s="58"/>
      <c r="K55" s="60"/>
      <c r="L55" s="60"/>
      <c r="M55" s="58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58"/>
      <c r="AA55" s="58"/>
      <c r="AB55" s="60"/>
      <c r="AC55" s="59"/>
      <c r="AD55" s="58"/>
      <c r="AE55" s="61"/>
      <c r="AF55" s="61"/>
      <c r="AG55" s="61"/>
      <c r="AH55" s="61"/>
      <c r="AI55" s="62"/>
      <c r="AJ55" s="62"/>
      <c r="AK55" s="62"/>
    </row>
    <row r="56" spans="1:37" s="63" customFormat="1" ht="14.25" customHeight="1" x14ac:dyDescent="0.2">
      <c r="A56" s="57"/>
      <c r="B56" s="58"/>
      <c r="C56" s="59"/>
      <c r="D56" s="59"/>
      <c r="E56" s="59"/>
      <c r="F56" s="59"/>
      <c r="G56" s="60"/>
      <c r="H56" s="60"/>
      <c r="I56" s="60"/>
      <c r="J56" s="58"/>
      <c r="K56" s="60"/>
      <c r="L56" s="60"/>
      <c r="M56" s="58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58"/>
      <c r="AA56" s="58"/>
      <c r="AB56" s="60"/>
      <c r="AC56" s="59"/>
      <c r="AD56" s="58"/>
      <c r="AE56" s="61"/>
      <c r="AF56" s="61"/>
      <c r="AG56" s="61"/>
      <c r="AH56" s="61"/>
      <c r="AI56" s="62"/>
      <c r="AJ56" s="62"/>
      <c r="AK56" s="62"/>
    </row>
    <row r="57" spans="1:37" s="63" customFormat="1" ht="14.25" customHeight="1" x14ac:dyDescent="0.2">
      <c r="A57" s="57"/>
      <c r="B57" s="58"/>
      <c r="C57" s="59"/>
      <c r="D57" s="59"/>
      <c r="E57" s="59"/>
      <c r="F57" s="59"/>
      <c r="G57" s="60"/>
      <c r="H57" s="60"/>
      <c r="I57" s="60"/>
      <c r="J57" s="58"/>
      <c r="K57" s="60"/>
      <c r="L57" s="60"/>
      <c r="M57" s="58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58"/>
      <c r="AA57" s="58"/>
      <c r="AB57" s="60"/>
      <c r="AC57" s="59"/>
      <c r="AD57" s="58"/>
      <c r="AE57" s="61"/>
      <c r="AF57" s="61"/>
      <c r="AG57" s="61"/>
      <c r="AH57" s="61"/>
      <c r="AI57" s="62"/>
      <c r="AJ57" s="62"/>
      <c r="AK57" s="62"/>
    </row>
    <row r="58" spans="1:37" s="63" customFormat="1" ht="14.25" customHeight="1" x14ac:dyDescent="0.2">
      <c r="A58" s="57"/>
      <c r="B58" s="58"/>
      <c r="C58" s="59"/>
      <c r="D58" s="59"/>
      <c r="E58" s="59"/>
      <c r="F58" s="59"/>
      <c r="G58" s="60"/>
      <c r="H58" s="60"/>
      <c r="I58" s="60"/>
      <c r="J58" s="58"/>
      <c r="K58" s="60"/>
      <c r="L58" s="60"/>
      <c r="M58" s="58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58"/>
      <c r="AA58" s="58"/>
      <c r="AB58" s="60"/>
      <c r="AC58" s="59"/>
      <c r="AD58" s="58"/>
      <c r="AE58" s="61"/>
      <c r="AF58" s="61"/>
      <c r="AG58" s="61"/>
      <c r="AH58" s="61"/>
      <c r="AI58" s="62"/>
      <c r="AJ58" s="62"/>
      <c r="AK58" s="62"/>
    </row>
    <row r="59" spans="1:37" s="63" customFormat="1" ht="14.25" customHeight="1" x14ac:dyDescent="0.2">
      <c r="A59" s="57"/>
      <c r="B59" s="58"/>
      <c r="C59" s="59"/>
      <c r="D59" s="59"/>
      <c r="E59" s="59"/>
      <c r="F59" s="59"/>
      <c r="G59" s="60"/>
      <c r="H59" s="60"/>
      <c r="I59" s="60"/>
      <c r="J59" s="58"/>
      <c r="K59" s="60"/>
      <c r="L59" s="60"/>
      <c r="M59" s="58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58"/>
      <c r="AA59" s="58"/>
      <c r="AB59" s="60"/>
      <c r="AC59" s="59"/>
      <c r="AD59" s="58"/>
      <c r="AE59" s="61"/>
      <c r="AF59" s="61"/>
      <c r="AG59" s="61"/>
      <c r="AH59" s="61"/>
      <c r="AI59" s="62"/>
      <c r="AJ59" s="62"/>
      <c r="AK59" s="62"/>
    </row>
    <row r="60" spans="1:37" s="63" customFormat="1" ht="14.25" customHeight="1" x14ac:dyDescent="0.2">
      <c r="A60" s="57"/>
      <c r="B60" s="58"/>
      <c r="C60" s="59"/>
      <c r="D60" s="59"/>
      <c r="E60" s="59"/>
      <c r="F60" s="59"/>
      <c r="G60" s="60"/>
      <c r="H60" s="60"/>
      <c r="I60" s="60"/>
      <c r="J60" s="58"/>
      <c r="K60" s="60"/>
      <c r="L60" s="60"/>
      <c r="M60" s="58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58"/>
      <c r="AA60" s="58"/>
      <c r="AB60" s="60"/>
      <c r="AC60" s="59"/>
      <c r="AD60" s="58"/>
      <c r="AE60" s="61"/>
      <c r="AF60" s="61"/>
      <c r="AG60" s="61"/>
      <c r="AH60" s="61"/>
      <c r="AI60" s="62"/>
      <c r="AJ60" s="62"/>
      <c r="AK60" s="62"/>
    </row>
    <row r="61" spans="1:37" s="63" customFormat="1" ht="14.25" customHeight="1" x14ac:dyDescent="0.2">
      <c r="A61" s="57"/>
      <c r="B61" s="58"/>
      <c r="C61" s="59"/>
      <c r="D61" s="59"/>
      <c r="E61" s="59"/>
      <c r="F61" s="59"/>
      <c r="G61" s="60"/>
      <c r="H61" s="60"/>
      <c r="I61" s="60"/>
      <c r="J61" s="58"/>
      <c r="K61" s="60"/>
      <c r="L61" s="60"/>
      <c r="M61" s="58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58"/>
      <c r="AA61" s="58"/>
      <c r="AB61" s="60"/>
      <c r="AC61" s="59"/>
      <c r="AD61" s="58"/>
      <c r="AE61" s="61"/>
      <c r="AF61" s="61"/>
      <c r="AG61" s="61"/>
      <c r="AH61" s="61"/>
      <c r="AI61" s="62"/>
      <c r="AJ61" s="62"/>
      <c r="AK61" s="62"/>
    </row>
    <row r="62" spans="1:37" s="63" customFormat="1" ht="14.25" customHeight="1" x14ac:dyDescent="0.2">
      <c r="A62" s="57"/>
      <c r="B62" s="58"/>
      <c r="C62" s="59"/>
      <c r="D62" s="59"/>
      <c r="E62" s="59"/>
      <c r="F62" s="59"/>
      <c r="G62" s="60"/>
      <c r="H62" s="60"/>
      <c r="I62" s="60"/>
      <c r="J62" s="58"/>
      <c r="K62" s="60"/>
      <c r="L62" s="60"/>
      <c r="M62" s="58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58"/>
      <c r="AA62" s="58"/>
      <c r="AB62" s="60"/>
      <c r="AC62" s="59"/>
      <c r="AD62" s="58"/>
      <c r="AE62" s="61"/>
      <c r="AF62" s="61"/>
      <c r="AG62" s="61"/>
      <c r="AH62" s="61"/>
      <c r="AI62" s="62"/>
      <c r="AJ62" s="62"/>
      <c r="AK62" s="62"/>
    </row>
    <row r="63" spans="1:37" s="63" customFormat="1" ht="14.25" customHeight="1" x14ac:dyDescent="0.2">
      <c r="A63" s="57"/>
      <c r="B63" s="58"/>
      <c r="C63" s="59"/>
      <c r="D63" s="59"/>
      <c r="E63" s="59"/>
      <c r="F63" s="59"/>
      <c r="G63" s="60"/>
      <c r="H63" s="60"/>
      <c r="I63" s="60"/>
      <c r="J63" s="58"/>
      <c r="K63" s="60"/>
      <c r="L63" s="60"/>
      <c r="M63" s="58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58"/>
      <c r="AA63" s="58"/>
      <c r="AB63" s="60"/>
      <c r="AC63" s="59"/>
      <c r="AD63" s="58"/>
      <c r="AE63" s="61"/>
      <c r="AF63" s="61"/>
      <c r="AG63" s="61"/>
      <c r="AH63" s="61"/>
      <c r="AI63" s="62"/>
      <c r="AJ63" s="62"/>
      <c r="AK63" s="62"/>
    </row>
    <row r="64" spans="1:37" s="63" customFormat="1" ht="14.25" customHeight="1" x14ac:dyDescent="0.2">
      <c r="A64" s="57"/>
      <c r="B64" s="58"/>
      <c r="C64" s="59"/>
      <c r="D64" s="59"/>
      <c r="E64" s="59"/>
      <c r="F64" s="59"/>
      <c r="G64" s="60"/>
      <c r="H64" s="60"/>
      <c r="I64" s="60"/>
      <c r="J64" s="58"/>
      <c r="K64" s="60"/>
      <c r="L64" s="60"/>
      <c r="M64" s="58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58"/>
      <c r="AA64" s="58"/>
      <c r="AB64" s="60"/>
      <c r="AC64" s="59"/>
      <c r="AD64" s="58"/>
      <c r="AE64" s="61"/>
      <c r="AF64" s="61"/>
      <c r="AG64" s="61"/>
      <c r="AH64" s="61"/>
      <c r="AI64" s="62"/>
      <c r="AJ64" s="62"/>
      <c r="AK64" s="62"/>
    </row>
    <row r="65" spans="1:37" s="63" customFormat="1" ht="14.25" customHeight="1" x14ac:dyDescent="0.2">
      <c r="A65" s="57"/>
      <c r="B65" s="58"/>
      <c r="C65" s="59"/>
      <c r="D65" s="59"/>
      <c r="E65" s="59"/>
      <c r="F65" s="59"/>
      <c r="G65" s="60"/>
      <c r="H65" s="60"/>
      <c r="I65" s="60"/>
      <c r="J65" s="58"/>
      <c r="K65" s="60"/>
      <c r="L65" s="60"/>
      <c r="M65" s="58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58"/>
      <c r="AA65" s="58"/>
      <c r="AB65" s="60"/>
      <c r="AC65" s="59"/>
      <c r="AD65" s="58"/>
      <c r="AE65" s="61"/>
      <c r="AF65" s="61"/>
      <c r="AG65" s="61"/>
      <c r="AH65" s="61"/>
      <c r="AI65" s="62"/>
      <c r="AJ65" s="62"/>
      <c r="AK65" s="62"/>
    </row>
  </sheetData>
  <sheetProtection algorithmName="SHA-512" hashValue="tchQShcCyoqMFQWnhkLk7weNmJcpLxgzUUC1q8ZeMXxuqEURnfLNhZQMF4div59Mtab/SicmK88h/7x/frDKRw==" saltValue="Zh3JN00A1EtJzkaLmVtFvw==" spinCount="100000" sheet="1" objects="1" scenarios="1"/>
  <mergeCells count="62">
    <mergeCell ref="S8:T8"/>
    <mergeCell ref="U8:W8"/>
    <mergeCell ref="Y8:Z8"/>
    <mergeCell ref="AA8:AB8"/>
    <mergeCell ref="AD8:AF8"/>
    <mergeCell ref="A8:C8"/>
    <mergeCell ref="E8:F8"/>
    <mergeCell ref="G8:I8"/>
    <mergeCell ref="K8:N8"/>
    <mergeCell ref="O8:Q8"/>
    <mergeCell ref="S7:T7"/>
    <mergeCell ref="U7:W7"/>
    <mergeCell ref="Y7:Z7"/>
    <mergeCell ref="AA7:AB7"/>
    <mergeCell ref="AD7:AF7"/>
    <mergeCell ref="A7:C7"/>
    <mergeCell ref="E7:F7"/>
    <mergeCell ref="G7:I7"/>
    <mergeCell ref="K7:N7"/>
    <mergeCell ref="O7:Q7"/>
    <mergeCell ref="S6:T6"/>
    <mergeCell ref="U6:W6"/>
    <mergeCell ref="Y6:Z6"/>
    <mergeCell ref="AA6:AB6"/>
    <mergeCell ref="AD6:AF6"/>
    <mergeCell ref="A6:C6"/>
    <mergeCell ref="E6:F6"/>
    <mergeCell ref="G6:I6"/>
    <mergeCell ref="K6:N6"/>
    <mergeCell ref="O6:Q6"/>
    <mergeCell ref="S5:T5"/>
    <mergeCell ref="U5:W5"/>
    <mergeCell ref="Y5:Z5"/>
    <mergeCell ref="AA5:AB5"/>
    <mergeCell ref="AD5:AF5"/>
    <mergeCell ref="A5:C5"/>
    <mergeCell ref="E5:F5"/>
    <mergeCell ref="G5:I5"/>
    <mergeCell ref="K5:N5"/>
    <mergeCell ref="O5:Q5"/>
    <mergeCell ref="S4:T4"/>
    <mergeCell ref="U4:W4"/>
    <mergeCell ref="Y4:Z4"/>
    <mergeCell ref="AA4:AB4"/>
    <mergeCell ref="AD4:AF4"/>
    <mergeCell ref="A4:C4"/>
    <mergeCell ref="E4:F4"/>
    <mergeCell ref="G4:I4"/>
    <mergeCell ref="K4:N4"/>
    <mergeCell ref="O4:Q4"/>
    <mergeCell ref="A1:AD1"/>
    <mergeCell ref="A2:AD2"/>
    <mergeCell ref="A3:C3"/>
    <mergeCell ref="E3:F3"/>
    <mergeCell ref="G3:I3"/>
    <mergeCell ref="K3:N3"/>
    <mergeCell ref="O3:Q3"/>
    <mergeCell ref="S3:T3"/>
    <mergeCell ref="U3:W3"/>
    <mergeCell ref="Y3:Z3"/>
    <mergeCell ref="AA3:AB3"/>
    <mergeCell ref="AD3:A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O43"/>
  <sheetViews>
    <sheetView showGridLines="0" workbookViewId="0">
      <pane ySplit="11" topLeftCell="A12" activePane="bottomLeft" state="frozen"/>
      <selection pane="bottomLeft" activeCell="E13" sqref="E13"/>
    </sheetView>
  </sheetViews>
  <sheetFormatPr defaultColWidth="8.7109375" defaultRowHeight="12.75" x14ac:dyDescent="0.2"/>
  <cols>
    <col min="1" max="1" width="8" customWidth="1"/>
    <col min="2" max="2" width="12" customWidth="1"/>
    <col min="3" max="3" width="29" customWidth="1"/>
    <col min="4" max="4" width="13" customWidth="1"/>
    <col min="5" max="5" width="24" customWidth="1"/>
    <col min="6" max="6" width="20" customWidth="1"/>
    <col min="7" max="7" width="18" customWidth="1"/>
    <col min="8" max="8" width="14" customWidth="1"/>
    <col min="9" max="9" width="24" customWidth="1"/>
    <col min="10" max="10" width="13" customWidth="1"/>
    <col min="11" max="11" width="28" customWidth="1"/>
    <col min="12" max="13" width="18" customWidth="1"/>
    <col min="14" max="15" width="20" customWidth="1"/>
    <col min="16" max="16" width="14" customWidth="1"/>
    <col min="17" max="17" width="24" customWidth="1"/>
    <col min="18" max="18" width="13" customWidth="1"/>
    <col min="19" max="19" width="22" customWidth="1"/>
    <col min="20" max="20" width="18" customWidth="1"/>
    <col min="21" max="21" width="20" customWidth="1"/>
    <col min="22" max="22" width="14" customWidth="1"/>
    <col min="23" max="23" width="24" customWidth="1"/>
    <col min="24" max="24" width="13" customWidth="1"/>
    <col min="25" max="25" width="22" customWidth="1"/>
    <col min="26" max="26" width="18" customWidth="1"/>
    <col min="27" max="28" width="22" customWidth="1"/>
    <col min="29" max="29" width="16" customWidth="1"/>
    <col min="30" max="30" width="13" customWidth="1"/>
    <col min="31" max="31" width="22" customWidth="1"/>
    <col min="32" max="32" width="20" customWidth="1"/>
    <col min="33" max="33" width="14" customWidth="1"/>
    <col min="34" max="34" width="24" customWidth="1"/>
    <col min="35" max="35" width="14" customWidth="1"/>
    <col min="36" max="36" width="18" customWidth="1"/>
    <col min="37" max="38" width="10" customWidth="1"/>
    <col min="39" max="39" width="12" customWidth="1"/>
    <col min="40" max="40" width="14" customWidth="1"/>
    <col min="41" max="41" width="12" customWidth="1"/>
  </cols>
  <sheetData>
    <row r="1" spans="1:41" ht="18" customHeight="1" x14ac:dyDescent="0.2">
      <c r="A1" s="144" t="s">
        <v>173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</row>
    <row r="2" spans="1:41" ht="24" customHeight="1" x14ac:dyDescent="0.2">
      <c r="A2" s="145" t="s">
        <v>174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  <c r="AH2" s="145"/>
      <c r="AI2" s="145"/>
    </row>
    <row r="3" spans="1:41" ht="19.5" customHeight="1" x14ac:dyDescent="0.2">
      <c r="A3" s="146" t="s">
        <v>2</v>
      </c>
      <c r="B3" s="146"/>
      <c r="C3" s="146"/>
      <c r="D3" s="1" t="s">
        <v>3</v>
      </c>
      <c r="E3" s="147" t="s">
        <v>4</v>
      </c>
      <c r="F3" s="147"/>
      <c r="G3" s="146" t="s">
        <v>2</v>
      </c>
      <c r="H3" s="146"/>
      <c r="I3" s="1" t="s">
        <v>3</v>
      </c>
      <c r="J3" s="147" t="s">
        <v>4</v>
      </c>
      <c r="K3" s="147"/>
      <c r="L3" s="146" t="s">
        <v>2</v>
      </c>
      <c r="M3" s="146"/>
      <c r="N3" s="1" t="s">
        <v>3</v>
      </c>
      <c r="O3" s="147" t="s">
        <v>4</v>
      </c>
      <c r="P3" s="147"/>
      <c r="Q3" s="146" t="s">
        <v>2</v>
      </c>
      <c r="R3" s="146"/>
      <c r="S3" s="1" t="s">
        <v>3</v>
      </c>
      <c r="T3" s="64" t="s">
        <v>4</v>
      </c>
      <c r="U3" s="146" t="s">
        <v>2</v>
      </c>
      <c r="V3" s="146"/>
      <c r="W3" s="1" t="s">
        <v>3</v>
      </c>
      <c r="X3" s="147" t="s">
        <v>4</v>
      </c>
      <c r="Y3" s="147"/>
      <c r="Z3" s="65"/>
      <c r="AA3" s="65"/>
      <c r="AB3" s="65"/>
    </row>
    <row r="4" spans="1:41" s="69" customFormat="1" ht="33.75" customHeight="1" x14ac:dyDescent="0.2">
      <c r="A4" s="150" t="s">
        <v>5</v>
      </c>
      <c r="B4" s="150"/>
      <c r="C4" s="150"/>
      <c r="D4" s="66">
        <v>23.0011538188792</v>
      </c>
      <c r="E4" s="149" t="s">
        <v>175</v>
      </c>
      <c r="F4" s="149"/>
      <c r="G4" s="150" t="s">
        <v>34</v>
      </c>
      <c r="H4" s="150"/>
      <c r="I4" s="66">
        <v>1577.3</v>
      </c>
      <c r="J4" s="149" t="s">
        <v>176</v>
      </c>
      <c r="K4" s="149"/>
      <c r="L4" s="150" t="s">
        <v>17</v>
      </c>
      <c r="M4" s="150"/>
      <c r="N4" s="66">
        <v>18.957276244997399</v>
      </c>
      <c r="O4" s="149" t="s">
        <v>177</v>
      </c>
      <c r="P4" s="149"/>
      <c r="Q4" s="143" t="s">
        <v>178</v>
      </c>
      <c r="R4" s="143"/>
      <c r="S4" s="66">
        <f>AG41</f>
        <v>13239.188604631876</v>
      </c>
      <c r="T4" s="67" t="s">
        <v>179</v>
      </c>
      <c r="U4" s="143" t="s">
        <v>180</v>
      </c>
      <c r="V4" s="143"/>
      <c r="W4" s="66">
        <f>N41</f>
        <v>2003.0892358809378</v>
      </c>
      <c r="X4" s="148" t="s">
        <v>181</v>
      </c>
      <c r="Y4" s="148"/>
      <c r="Z4" s="68"/>
      <c r="AA4" s="68"/>
      <c r="AB4" s="68"/>
    </row>
    <row r="5" spans="1:41" s="69" customFormat="1" ht="33.75" customHeight="1" x14ac:dyDescent="0.2">
      <c r="A5" s="150" t="s">
        <v>13</v>
      </c>
      <c r="B5" s="150"/>
      <c r="C5" s="150"/>
      <c r="D5" s="66">
        <v>20</v>
      </c>
      <c r="E5" s="149" t="s">
        <v>182</v>
      </c>
      <c r="F5" s="149"/>
      <c r="G5" s="150" t="s">
        <v>183</v>
      </c>
      <c r="H5" s="150"/>
      <c r="I5" s="66">
        <v>4326.8900000000003</v>
      </c>
      <c r="J5" s="149" t="s">
        <v>184</v>
      </c>
      <c r="K5" s="149"/>
      <c r="L5" s="150" t="s">
        <v>171</v>
      </c>
      <c r="M5" s="150"/>
      <c r="N5" s="66">
        <v>16.524030321626402</v>
      </c>
      <c r="O5" s="149" t="s">
        <v>177</v>
      </c>
      <c r="P5" s="149"/>
      <c r="Q5" s="143" t="s">
        <v>185</v>
      </c>
      <c r="R5" s="143"/>
      <c r="S5" s="66">
        <f>AG41-$D$7</f>
        <v>-9.2404661700129509E-10</v>
      </c>
      <c r="T5" s="67" t="s">
        <v>186</v>
      </c>
      <c r="U5" s="143" t="s">
        <v>187</v>
      </c>
      <c r="V5" s="143"/>
      <c r="W5" s="66">
        <f>AA41</f>
        <v>2522.9376147978692</v>
      </c>
      <c r="X5" s="148" t="s">
        <v>188</v>
      </c>
      <c r="Y5" s="148"/>
      <c r="Z5" s="68"/>
      <c r="AA5" s="68"/>
      <c r="AB5" s="68"/>
    </row>
    <row r="6" spans="1:41" s="69" customFormat="1" ht="33.75" customHeight="1" x14ac:dyDescent="0.2">
      <c r="A6" s="150" t="s">
        <v>19</v>
      </c>
      <c r="B6" s="150"/>
      <c r="C6" s="150"/>
      <c r="D6" s="66">
        <v>18</v>
      </c>
      <c r="E6" s="149" t="s">
        <v>189</v>
      </c>
      <c r="F6" s="149"/>
      <c r="G6" s="150" t="s">
        <v>18</v>
      </c>
      <c r="H6" s="150"/>
      <c r="I6" s="66">
        <v>115.84</v>
      </c>
      <c r="J6" s="149" t="s">
        <v>190</v>
      </c>
      <c r="K6" s="149"/>
      <c r="L6" s="150" t="s">
        <v>191</v>
      </c>
      <c r="M6" s="150"/>
      <c r="N6" s="66">
        <v>4</v>
      </c>
      <c r="O6" s="149" t="s">
        <v>192</v>
      </c>
      <c r="P6" s="149"/>
      <c r="Q6" s="143" t="s">
        <v>193</v>
      </c>
      <c r="R6" s="143"/>
      <c r="S6" s="66">
        <f>Z41</f>
        <v>624.49275347590299</v>
      </c>
      <c r="T6" s="67" t="s">
        <v>194</v>
      </c>
      <c r="U6" s="143" t="s">
        <v>195</v>
      </c>
      <c r="V6" s="143"/>
      <c r="W6" s="66">
        <f>AE41</f>
        <v>-57.26869198318704</v>
      </c>
      <c r="X6" s="148" t="s">
        <v>196</v>
      </c>
      <c r="Y6" s="148"/>
      <c r="Z6" s="68"/>
      <c r="AA6" s="68"/>
      <c r="AB6" s="68"/>
    </row>
    <row r="7" spans="1:41" s="69" customFormat="1" ht="33.75" customHeight="1" x14ac:dyDescent="0.2">
      <c r="A7" s="150" t="s">
        <v>197</v>
      </c>
      <c r="B7" s="150"/>
      <c r="C7" s="150"/>
      <c r="D7" s="66">
        <v>13239.1886046328</v>
      </c>
      <c r="E7" s="149" t="s">
        <v>198</v>
      </c>
      <c r="F7" s="149"/>
      <c r="G7" s="150" t="s">
        <v>28</v>
      </c>
      <c r="H7" s="150"/>
      <c r="I7" s="66">
        <v>7.9131392354088597</v>
      </c>
      <c r="J7" s="149" t="s">
        <v>199</v>
      </c>
      <c r="K7" s="149"/>
      <c r="L7" s="150" t="s">
        <v>200</v>
      </c>
      <c r="M7" s="150"/>
      <c r="N7" s="70" t="s">
        <v>201</v>
      </c>
      <c r="O7" s="149" t="s">
        <v>202</v>
      </c>
      <c r="P7" s="149"/>
      <c r="Q7" s="143" t="s">
        <v>203</v>
      </c>
      <c r="R7" s="143"/>
      <c r="S7" s="66">
        <f>Z41-V41</f>
        <v>508.65275347592433</v>
      </c>
      <c r="T7" s="67" t="s">
        <v>204</v>
      </c>
      <c r="U7" s="143" t="s">
        <v>205</v>
      </c>
      <c r="V7" s="143"/>
      <c r="W7" s="66">
        <f>AF41</f>
        <v>124.23378320534866</v>
      </c>
      <c r="X7" s="148" t="s">
        <v>196</v>
      </c>
      <c r="Y7" s="148"/>
      <c r="Z7" s="68"/>
      <c r="AA7" s="68"/>
      <c r="AB7" s="68"/>
    </row>
    <row r="8" spans="1:41" s="69" customFormat="1" ht="33.75" customHeight="1" x14ac:dyDescent="0.2">
      <c r="A8" s="150" t="s">
        <v>15</v>
      </c>
      <c r="B8" s="150"/>
      <c r="C8" s="150"/>
      <c r="D8" s="66">
        <f>I4+I5</f>
        <v>5904.1900000000005</v>
      </c>
      <c r="E8" s="149" t="s">
        <v>206</v>
      </c>
      <c r="F8" s="149"/>
      <c r="G8" s="150" t="s">
        <v>36</v>
      </c>
      <c r="H8" s="150"/>
      <c r="I8" s="66">
        <v>6.9654082687254597</v>
      </c>
      <c r="J8" s="149" t="s">
        <v>177</v>
      </c>
      <c r="K8" s="149"/>
      <c r="L8" s="150" t="s">
        <v>207</v>
      </c>
      <c r="M8" s="150"/>
      <c r="N8" s="70" t="s">
        <v>208</v>
      </c>
      <c r="O8" s="149" t="s">
        <v>209</v>
      </c>
      <c r="P8" s="149"/>
      <c r="Q8" s="143" t="s">
        <v>210</v>
      </c>
      <c r="R8" s="143"/>
      <c r="S8" s="66">
        <f>V41</f>
        <v>115.83999999997864</v>
      </c>
      <c r="T8" s="67" t="s">
        <v>211</v>
      </c>
      <c r="U8" s="143" t="s">
        <v>212</v>
      </c>
      <c r="V8" s="143"/>
      <c r="W8" s="66">
        <f>Y41</f>
        <v>527.7155555554582</v>
      </c>
      <c r="X8" s="148" t="s">
        <v>61</v>
      </c>
      <c r="Y8" s="148"/>
      <c r="Z8" s="68"/>
      <c r="AA8" s="68"/>
      <c r="AB8" s="68"/>
    </row>
    <row r="9" spans="1:41" s="69" customFormat="1" ht="33.75" customHeight="1" x14ac:dyDescent="0.2">
      <c r="A9" s="152" t="s">
        <v>24</v>
      </c>
      <c r="B9" s="152"/>
      <c r="C9" s="152"/>
      <c r="D9" s="71">
        <v>2003.0892358809399</v>
      </c>
      <c r="E9" s="153" t="s">
        <v>213</v>
      </c>
      <c r="F9" s="153"/>
      <c r="G9" s="152" t="s">
        <v>9</v>
      </c>
      <c r="H9" s="152"/>
      <c r="I9" s="71">
        <v>5.3903147418599501E-2</v>
      </c>
      <c r="J9" s="153" t="s">
        <v>214</v>
      </c>
      <c r="K9" s="153"/>
      <c r="L9" s="152" t="s">
        <v>215</v>
      </c>
      <c r="M9" s="152"/>
      <c r="N9" s="72" t="s">
        <v>216</v>
      </c>
      <c r="O9" s="153" t="s">
        <v>217</v>
      </c>
      <c r="P9" s="153"/>
      <c r="Q9" s="154" t="s">
        <v>218</v>
      </c>
      <c r="R9" s="154"/>
      <c r="S9" s="71">
        <f>V41-$I$6</f>
        <v>-2.1358914636948612E-11</v>
      </c>
      <c r="T9" s="73" t="s">
        <v>186</v>
      </c>
      <c r="U9" s="154" t="s">
        <v>131</v>
      </c>
      <c r="V9" s="154"/>
      <c r="W9" s="72" t="str">
        <f>IF(AND(ABS($S$5)&lt;=0.01,ABS($S$9)&lt;=0.01),"OK","Перевірити")</f>
        <v>OK</v>
      </c>
      <c r="X9" s="155" t="s">
        <v>219</v>
      </c>
      <c r="Y9" s="155"/>
      <c r="Z9" s="68"/>
      <c r="AA9" s="68"/>
      <c r="AB9" s="68"/>
    </row>
    <row r="10" spans="1:41" ht="7.5" customHeight="1" x14ac:dyDescent="0.2"/>
    <row r="11" spans="1:41" ht="48" customHeight="1" x14ac:dyDescent="0.2">
      <c r="A11" s="74" t="s">
        <v>40</v>
      </c>
      <c r="B11" s="75" t="s">
        <v>41</v>
      </c>
      <c r="C11" s="74" t="s">
        <v>42</v>
      </c>
      <c r="D11" s="74" t="s">
        <v>43</v>
      </c>
      <c r="E11" s="74" t="s">
        <v>44</v>
      </c>
      <c r="F11" s="74" t="s">
        <v>45</v>
      </c>
      <c r="G11" s="74" t="s">
        <v>46</v>
      </c>
      <c r="H11" s="74" t="s">
        <v>47</v>
      </c>
      <c r="I11" s="74" t="s">
        <v>48</v>
      </c>
      <c r="J11" s="74" t="s">
        <v>49</v>
      </c>
      <c r="K11" s="74" t="s">
        <v>50</v>
      </c>
      <c r="L11" s="74" t="s">
        <v>51</v>
      </c>
      <c r="M11" s="74" t="s">
        <v>52</v>
      </c>
      <c r="N11" s="74" t="s">
        <v>53</v>
      </c>
      <c r="O11" s="74" t="s">
        <v>54</v>
      </c>
      <c r="P11" s="74" t="s">
        <v>55</v>
      </c>
      <c r="Q11" s="74" t="s">
        <v>56</v>
      </c>
      <c r="R11" s="74" t="s">
        <v>57</v>
      </c>
      <c r="S11" s="74" t="s">
        <v>58</v>
      </c>
      <c r="T11" s="74" t="s">
        <v>59</v>
      </c>
      <c r="U11" s="74" t="s">
        <v>19</v>
      </c>
      <c r="V11" s="74" t="s">
        <v>60</v>
      </c>
      <c r="W11" s="74" t="s">
        <v>61</v>
      </c>
      <c r="X11" s="74" t="s">
        <v>62</v>
      </c>
      <c r="Y11" s="74" t="s">
        <v>63</v>
      </c>
      <c r="Z11" s="74" t="s">
        <v>64</v>
      </c>
      <c r="AA11" s="74" t="s">
        <v>65</v>
      </c>
      <c r="AB11" s="74" t="s">
        <v>66</v>
      </c>
      <c r="AC11" s="74" t="s">
        <v>67</v>
      </c>
      <c r="AD11" s="74" t="s">
        <v>68</v>
      </c>
      <c r="AE11" s="74" t="s">
        <v>69</v>
      </c>
      <c r="AF11" s="74" t="s">
        <v>220</v>
      </c>
      <c r="AG11" s="74" t="s">
        <v>70</v>
      </c>
      <c r="AH11" s="74" t="s">
        <v>71</v>
      </c>
      <c r="AI11" s="74" t="s">
        <v>72</v>
      </c>
      <c r="AJ11" s="74" t="s">
        <v>221</v>
      </c>
      <c r="AK11" s="74" t="s">
        <v>222</v>
      </c>
      <c r="AL11" s="74" t="s">
        <v>223</v>
      </c>
      <c r="AM11" s="74" t="s">
        <v>224</v>
      </c>
      <c r="AN11" s="74" t="s">
        <v>225</v>
      </c>
      <c r="AO11" s="74" t="s">
        <v>226</v>
      </c>
    </row>
    <row r="12" spans="1:41" ht="24" customHeight="1" x14ac:dyDescent="0.2">
      <c r="A12" s="76">
        <v>1</v>
      </c>
      <c r="B12" s="76">
        <f>$I$4*25/$D$8</f>
        <v>6.6787315448859195</v>
      </c>
      <c r="C12" s="77" t="s">
        <v>227</v>
      </c>
      <c r="D12" s="77" t="s">
        <v>74</v>
      </c>
      <c r="E12" s="77" t="s">
        <v>75</v>
      </c>
      <c r="F12" s="77" t="s">
        <v>228</v>
      </c>
      <c r="G12" s="76">
        <f>$I$4*25/100</f>
        <v>394.32499999999999</v>
      </c>
      <c r="H12" s="76">
        <v>0</v>
      </c>
      <c r="I12" s="76">
        <f>G12*$D$5/100</f>
        <v>78.864999999999995</v>
      </c>
      <c r="J12" s="76">
        <v>0</v>
      </c>
      <c r="K12" s="76">
        <f>0</f>
        <v>0</v>
      </c>
      <c r="L12" s="76">
        <v>0</v>
      </c>
      <c r="M12" s="76">
        <f>I12+K12</f>
        <v>78.864999999999995</v>
      </c>
      <c r="N12" s="76">
        <f>G12*$D$4/100</f>
        <v>90.699299796295406</v>
      </c>
      <c r="O12" s="76">
        <f>$I$7</f>
        <v>7.9131392354088597</v>
      </c>
      <c r="P12" s="76">
        <f>(G12+M12+N12)*O12/100</f>
        <v>44.621345426452947</v>
      </c>
      <c r="Q12" s="76">
        <f>G12+M12+N12+P12</f>
        <v>608.51064522274839</v>
      </c>
      <c r="R12" s="76">
        <f>Q12*H12/100</f>
        <v>0</v>
      </c>
      <c r="S12" s="76">
        <f>Q12+R12</f>
        <v>608.51064522274839</v>
      </c>
      <c r="T12" s="76">
        <f>P12</f>
        <v>44.621345426452947</v>
      </c>
      <c r="U12" s="76">
        <f>$D$6</f>
        <v>18</v>
      </c>
      <c r="V12" s="76">
        <f>T12*U12/100</f>
        <v>8.0318421767615309</v>
      </c>
      <c r="W12" s="76">
        <f>T12-V12</f>
        <v>36.589503249691418</v>
      </c>
      <c r="X12" s="76">
        <f>R12-L12</f>
        <v>0</v>
      </c>
      <c r="Y12" s="76">
        <f>W12</f>
        <v>36.589503249691418</v>
      </c>
      <c r="Z12" s="76">
        <f>V12+X12+I12</f>
        <v>86.896842176761524</v>
      </c>
      <c r="AA12" s="76">
        <f>IF(OR(E12="Кінцеве споживання",E12="Експорт"),S12,0)</f>
        <v>0</v>
      </c>
      <c r="AB12" s="76">
        <f>IF(E12="Перехід",Q12,0)</f>
        <v>608.51064522274839</v>
      </c>
      <c r="AC12" s="76">
        <f>IF(AND(E12="Перехід",D12="Платник ПДВ"),R12,0)</f>
        <v>0</v>
      </c>
      <c r="AD12" s="78"/>
      <c r="AE12" s="76">
        <f>IF($D$8=0,0,AA12/$D$8*100-100)</f>
        <v>-100</v>
      </c>
      <c r="AF12" s="76">
        <f>IF($D$8=0,0,AG12/$D$8*100-100)</f>
        <v>-89.69357955582818</v>
      </c>
      <c r="AG12" s="76">
        <f>S12</f>
        <v>608.51064522274839</v>
      </c>
      <c r="AH12" s="76" t="s">
        <v>77</v>
      </c>
      <c r="AI12" s="76">
        <f>IF($AG$41=0,0,AG12/$AG$41*100)</f>
        <v>4.5962835291118536</v>
      </c>
      <c r="AJ12" s="77" t="s">
        <v>77</v>
      </c>
      <c r="AK12" s="76">
        <v>14.3</v>
      </c>
      <c r="AL12" s="76">
        <f t="shared" ref="AL12:AL17" si="0">IF($AG$41=0,0,AN12/$AG$41*100)</f>
        <v>18.828710220380884</v>
      </c>
      <c r="AM12" s="76">
        <f t="shared" ref="AM12:AM17" si="1">AL12-AK12</f>
        <v>4.5287102203808836</v>
      </c>
      <c r="AN12" s="76">
        <f t="shared" ref="AN12:AN17" si="2">SUMIF($AH$12:$AH$37,AJ12,$AG$12:$AG$37)</f>
        <v>2492.7684578958233</v>
      </c>
      <c r="AO12" s="77" t="str">
        <f t="shared" ref="AO12:AO17" si="3">IF(ABS(AM12)&lt;=5,"ОК","Перевірити")</f>
        <v>ОК</v>
      </c>
    </row>
    <row r="13" spans="1:41" ht="24" customHeight="1" x14ac:dyDescent="0.2">
      <c r="A13" s="76">
        <v>1</v>
      </c>
      <c r="B13" s="76">
        <f>$I$4*75/$D$8</f>
        <v>20.036194634657758</v>
      </c>
      <c r="C13" s="77" t="s">
        <v>229</v>
      </c>
      <c r="D13" s="77" t="s">
        <v>79</v>
      </c>
      <c r="E13" s="77" t="s">
        <v>75</v>
      </c>
      <c r="F13" s="77" t="s">
        <v>230</v>
      </c>
      <c r="G13" s="76">
        <f>$I$4*75/100</f>
        <v>1182.9749999999999</v>
      </c>
      <c r="H13" s="76">
        <f>$D$5</f>
        <v>20</v>
      </c>
      <c r="I13" s="76">
        <f>G13*$D$5/100</f>
        <v>236.595</v>
      </c>
      <c r="J13" s="76">
        <v>0</v>
      </c>
      <c r="K13" s="76">
        <f>0</f>
        <v>0</v>
      </c>
      <c r="L13" s="76">
        <f>I13+J13+K13</f>
        <v>236.595</v>
      </c>
      <c r="M13" s="76">
        <v>0</v>
      </c>
      <c r="N13" s="76">
        <f>G13*$D$4/100</f>
        <v>272.09789938888616</v>
      </c>
      <c r="O13" s="76">
        <f>$I$7</f>
        <v>7.9131392354088597</v>
      </c>
      <c r="P13" s="76">
        <f>(G13+M13+N13)*O13/100</f>
        <v>115.14194450534322</v>
      </c>
      <c r="Q13" s="76">
        <f>G13+M13+N13+P13</f>
        <v>1570.2148438942293</v>
      </c>
      <c r="R13" s="76">
        <f>Q13*H13/100</f>
        <v>314.04296877884588</v>
      </c>
      <c r="S13" s="76">
        <f>Q13+R13</f>
        <v>1884.257812673075</v>
      </c>
      <c r="T13" s="76">
        <f>P13</f>
        <v>115.14194450534322</v>
      </c>
      <c r="U13" s="76">
        <f>$D$6</f>
        <v>18</v>
      </c>
      <c r="V13" s="76">
        <f>T13*U13/100</f>
        <v>20.725550010961779</v>
      </c>
      <c r="W13" s="76">
        <f>T13-V13</f>
        <v>94.416394494381436</v>
      </c>
      <c r="X13" s="76">
        <f>R13-L13</f>
        <v>77.447968778845876</v>
      </c>
      <c r="Y13" s="76">
        <f>W13</f>
        <v>94.416394494381436</v>
      </c>
      <c r="Z13" s="76">
        <f>V13+X13+I13</f>
        <v>334.76851878980767</v>
      </c>
      <c r="AA13" s="76">
        <f>IF(OR(E13="Кінцеве споживання",E13="Експорт"),S13,0)</f>
        <v>0</v>
      </c>
      <c r="AB13" s="76">
        <f>IF(E13="Перехід",Q13,0)</f>
        <v>1570.2148438942293</v>
      </c>
      <c r="AC13" s="76">
        <f>IF(AND(E13="Перехід",D13="Платник ПДВ"),R13,0)</f>
        <v>314.04296877884588</v>
      </c>
      <c r="AD13" s="78"/>
      <c r="AE13" s="76">
        <f>IF($D$8=0,0,AA13/$D$8*100-100)</f>
        <v>-100</v>
      </c>
      <c r="AF13" s="76">
        <f>IF($D$8=0,0,AG13/$D$8*100-100)</f>
        <v>-68.086091188239635</v>
      </c>
      <c r="AG13" s="76">
        <f>S13</f>
        <v>1884.257812673075</v>
      </c>
      <c r="AH13" s="76" t="s">
        <v>77</v>
      </c>
      <c r="AI13" s="76">
        <f>IF($AG$41=0,0,AG13/$AG$41*100)</f>
        <v>14.232426691269032</v>
      </c>
      <c r="AJ13" s="77" t="s">
        <v>87</v>
      </c>
      <c r="AK13" s="76">
        <v>10.43</v>
      </c>
      <c r="AL13" s="76">
        <f t="shared" si="0"/>
        <v>9.4797469506497674</v>
      </c>
      <c r="AM13" s="76">
        <f t="shared" si="1"/>
        <v>-0.95025304935023236</v>
      </c>
      <c r="AN13" s="76">
        <f t="shared" si="2"/>
        <v>1255.0415780383616</v>
      </c>
      <c r="AO13" s="77" t="str">
        <f t="shared" si="3"/>
        <v>ОК</v>
      </c>
    </row>
    <row r="14" spans="1:41" ht="24" customHeight="1" x14ac:dyDescent="0.2">
      <c r="A14" s="76">
        <v>1</v>
      </c>
      <c r="B14" s="76">
        <f>$I$5/$D$8*100</f>
        <v>73.285073820456319</v>
      </c>
      <c r="C14" s="77" t="s">
        <v>152</v>
      </c>
      <c r="D14" s="77" t="s">
        <v>79</v>
      </c>
      <c r="E14" s="77" t="s">
        <v>75</v>
      </c>
      <c r="F14" s="77" t="s">
        <v>82</v>
      </c>
      <c r="G14" s="76">
        <f>$I$5</f>
        <v>4326.8900000000003</v>
      </c>
      <c r="H14" s="76">
        <f>$D$5</f>
        <v>20</v>
      </c>
      <c r="I14" s="76">
        <v>0</v>
      </c>
      <c r="J14" s="76">
        <f>G14*$D$5/100</f>
        <v>865.37800000000004</v>
      </c>
      <c r="K14" s="76">
        <f>0</f>
        <v>0</v>
      </c>
      <c r="L14" s="76">
        <f>I14+J14+K14</f>
        <v>865.37800000000004</v>
      </c>
      <c r="M14" s="76">
        <v>0</v>
      </c>
      <c r="N14" s="76">
        <f>G14*$D$4/100</f>
        <v>995.2346244737023</v>
      </c>
      <c r="O14" s="76">
        <f>$I$9</f>
        <v>5.3903147418599501E-2</v>
      </c>
      <c r="P14" s="76">
        <f>(G14+M14+N14)*O14/100</f>
        <v>2.8687926821316454</v>
      </c>
      <c r="Q14" s="76">
        <f>G14+M14+N14+P14</f>
        <v>5324.9934171558343</v>
      </c>
      <c r="R14" s="76">
        <f>Q14*H14/100</f>
        <v>1064.9986834311669</v>
      </c>
      <c r="S14" s="76">
        <f>Q14+R14</f>
        <v>6389.992100587001</v>
      </c>
      <c r="T14" s="76">
        <f>P14</f>
        <v>2.8687926821316454</v>
      </c>
      <c r="U14" s="76">
        <f>$D$6</f>
        <v>18</v>
      </c>
      <c r="V14" s="76">
        <f>T14*U14/100</f>
        <v>0.51638268278369615</v>
      </c>
      <c r="W14" s="76">
        <f>T14-V14</f>
        <v>2.352409999347949</v>
      </c>
      <c r="X14" s="76">
        <f>R14-L14</f>
        <v>199.62068343116687</v>
      </c>
      <c r="Y14" s="76">
        <f>W14</f>
        <v>2.352409999347949</v>
      </c>
      <c r="Z14" s="76">
        <f>V14+X14+I14</f>
        <v>200.13706611395057</v>
      </c>
      <c r="AA14" s="76">
        <f>IF(OR(E14="Кінцеве споживання",E14="Експорт"),S14,0)</f>
        <v>0</v>
      </c>
      <c r="AB14" s="76">
        <f>IF(E14="Перехід",Q14,0)</f>
        <v>5324.9934171558343</v>
      </c>
      <c r="AC14" s="76">
        <f>IF(AND(E14="Перехід",D14="Платник ПДВ"),R14,0)</f>
        <v>1064.9986834311669</v>
      </c>
      <c r="AD14" s="78"/>
      <c r="AE14" s="76">
        <f>IF($D$8=0,0,AA14/$D$8*100-100)</f>
        <v>-100</v>
      </c>
      <c r="AF14" s="76">
        <f>IF($D$8=0,0,AG14/$D$8*100-100)</f>
        <v>8.2280905693583861</v>
      </c>
      <c r="AG14" s="76">
        <f>S14</f>
        <v>6389.992100587001</v>
      </c>
      <c r="AH14" s="76" t="s">
        <v>83</v>
      </c>
      <c r="AI14" s="76">
        <f>IF($AG$41=0,0,AG14/$AG$41*100)</f>
        <v>48.265738115940067</v>
      </c>
      <c r="AJ14" s="77" t="s">
        <v>98</v>
      </c>
      <c r="AK14" s="76">
        <v>12.27</v>
      </c>
      <c r="AL14" s="76">
        <f t="shared" si="0"/>
        <v>9.5750952933207465</v>
      </c>
      <c r="AM14" s="76">
        <f t="shared" si="1"/>
        <v>-2.6949047066792531</v>
      </c>
      <c r="AN14" s="76">
        <f t="shared" si="2"/>
        <v>1267.6649249559632</v>
      </c>
      <c r="AO14" s="77" t="str">
        <f t="shared" si="3"/>
        <v>ОК</v>
      </c>
    </row>
    <row r="15" spans="1:41" ht="24" customHeight="1" x14ac:dyDescent="0.2">
      <c r="A15" s="79">
        <v>1</v>
      </c>
      <c r="B15" s="79">
        <f>SUM(B12:B14)</f>
        <v>100</v>
      </c>
      <c r="C15" s="80" t="s">
        <v>84</v>
      </c>
      <c r="D15" s="80"/>
      <c r="E15" s="80" t="s">
        <v>85</v>
      </c>
      <c r="F15" s="80"/>
      <c r="G15" s="79">
        <f>SUM(G12:G14)</f>
        <v>5904.1900000000005</v>
      </c>
      <c r="H15" s="79"/>
      <c r="I15" s="79">
        <f t="shared" ref="I15:N15" si="4">SUM(I12:I14)</f>
        <v>315.45999999999998</v>
      </c>
      <c r="J15" s="79">
        <f t="shared" si="4"/>
        <v>865.37800000000004</v>
      </c>
      <c r="K15" s="79">
        <f t="shared" si="4"/>
        <v>0</v>
      </c>
      <c r="L15" s="79">
        <f t="shared" si="4"/>
        <v>1101.973</v>
      </c>
      <c r="M15" s="79">
        <f t="shared" si="4"/>
        <v>78.864999999999995</v>
      </c>
      <c r="N15" s="79">
        <f t="shared" si="4"/>
        <v>1358.0318236588839</v>
      </c>
      <c r="O15" s="79"/>
      <c r="P15" s="79">
        <f>SUM(P12:P14)</f>
        <v>162.63208261392782</v>
      </c>
      <c r="Q15" s="79">
        <f>SUM(Q12:Q14)</f>
        <v>7503.7189062728121</v>
      </c>
      <c r="R15" s="79">
        <f>SUM(R12:R14)</f>
        <v>1379.0416522100127</v>
      </c>
      <c r="S15" s="79">
        <f>SUM(S12:S14)</f>
        <v>8882.7605584828234</v>
      </c>
      <c r="T15" s="79">
        <f>SUM(T12:T14)</f>
        <v>162.63208261392782</v>
      </c>
      <c r="U15" s="79"/>
      <c r="V15" s="79">
        <f t="shared" ref="V15:AC15" si="5">SUM(V12:V14)</f>
        <v>29.273774870507008</v>
      </c>
      <c r="W15" s="79">
        <f t="shared" si="5"/>
        <v>133.3583077434208</v>
      </c>
      <c r="X15" s="79">
        <f t="shared" si="5"/>
        <v>277.06865221001271</v>
      </c>
      <c r="Y15" s="79">
        <f t="shared" si="5"/>
        <v>133.3583077434208</v>
      </c>
      <c r="Z15" s="79">
        <f t="shared" si="5"/>
        <v>621.80242708051981</v>
      </c>
      <c r="AA15" s="79">
        <f t="shared" si="5"/>
        <v>0</v>
      </c>
      <c r="AB15" s="79">
        <f t="shared" si="5"/>
        <v>7503.7189062728121</v>
      </c>
      <c r="AC15" s="79">
        <f t="shared" si="5"/>
        <v>1379.0416522100127</v>
      </c>
      <c r="AD15" s="79" t="str">
        <f>IF(ABS(B15-100)&lt;=0.01,"ОК","ПОМИЛКА")</f>
        <v>ОК</v>
      </c>
      <c r="AE15" s="79">
        <f>IF($D$8=0,0,AA15/$D$8*100-100)</f>
        <v>-100</v>
      </c>
      <c r="AF15" s="79">
        <f>IF($D$8=0,0,AG15/$D$8*100-100)</f>
        <v>50.448419825290557</v>
      </c>
      <c r="AG15" s="79">
        <f>SUM(AG12:AG14)</f>
        <v>8882.7605584828234</v>
      </c>
      <c r="AH15" s="79"/>
      <c r="AI15" s="79"/>
      <c r="AJ15" s="77" t="s">
        <v>94</v>
      </c>
      <c r="AK15" s="76">
        <v>17.190000000000001</v>
      </c>
      <c r="AL15" s="76">
        <f t="shared" si="0"/>
        <v>12.68494605351205</v>
      </c>
      <c r="AM15" s="76">
        <f t="shared" si="1"/>
        <v>-4.5050539464879513</v>
      </c>
      <c r="AN15" s="76">
        <f t="shared" si="2"/>
        <v>1679.3839324202681</v>
      </c>
      <c r="AO15" s="77" t="str">
        <f t="shared" si="3"/>
        <v>ОК</v>
      </c>
    </row>
    <row r="16" spans="1:41" ht="24" customHeight="1" x14ac:dyDescent="0.2">
      <c r="A16" s="81"/>
      <c r="B16" s="81"/>
      <c r="C16" s="81"/>
      <c r="D16" s="81"/>
      <c r="E16" s="81"/>
      <c r="F16" s="81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7" t="s">
        <v>92</v>
      </c>
      <c r="AK16" s="76">
        <v>3.98</v>
      </c>
      <c r="AL16" s="76">
        <f t="shared" si="0"/>
        <v>1.162272037378024</v>
      </c>
      <c r="AM16" s="76">
        <f t="shared" si="1"/>
        <v>-2.817727962621976</v>
      </c>
      <c r="AN16" s="76">
        <f t="shared" si="2"/>
        <v>153.87538712737407</v>
      </c>
      <c r="AO16" s="77" t="str">
        <f t="shared" si="3"/>
        <v>ОК</v>
      </c>
    </row>
    <row r="17" spans="1:41" ht="24" customHeight="1" x14ac:dyDescent="0.2">
      <c r="A17" s="76">
        <v>2</v>
      </c>
      <c r="B17" s="76">
        <v>9.0516047041659693</v>
      </c>
      <c r="C17" s="77" t="s">
        <v>86</v>
      </c>
      <c r="D17" s="77" t="s">
        <v>79</v>
      </c>
      <c r="E17" s="77" t="s">
        <v>87</v>
      </c>
      <c r="F17" s="77" t="s">
        <v>88</v>
      </c>
      <c r="G17" s="76">
        <f t="shared" ref="G17:G22" si="6">$AB$15*B17/100</f>
        <v>679.2069735075811</v>
      </c>
      <c r="H17" s="76">
        <v>0</v>
      </c>
      <c r="I17" s="76">
        <v>0</v>
      </c>
      <c r="J17" s="76">
        <v>0</v>
      </c>
      <c r="K17" s="76">
        <f t="shared" ref="K17:K22" si="7">$AC$15*B17/100</f>
        <v>124.82539906384962</v>
      </c>
      <c r="L17" s="76">
        <f>I17+J17+K17</f>
        <v>124.82539906384962</v>
      </c>
      <c r="M17" s="76">
        <v>0</v>
      </c>
      <c r="N17" s="76">
        <f>G17*$D$4/100</f>
        <v>156.22544072503283</v>
      </c>
      <c r="O17" s="76">
        <f>$N$4</f>
        <v>18.957276244997399</v>
      </c>
      <c r="P17" s="76">
        <f>(G17+M17+N17)*O17/100</f>
        <v>158.37523060632759</v>
      </c>
      <c r="Q17" s="76">
        <f>G17+M17+N17+P17</f>
        <v>993.80764483894154</v>
      </c>
      <c r="R17" s="76">
        <f>Q17*H17/100</f>
        <v>0</v>
      </c>
      <c r="S17" s="76">
        <f>Q17+R17</f>
        <v>993.80764483894154</v>
      </c>
      <c r="T17" s="76">
        <f>P17</f>
        <v>158.37523060632759</v>
      </c>
      <c r="U17" s="76">
        <f>$D$6</f>
        <v>18</v>
      </c>
      <c r="V17" s="76">
        <f>T17*U17/100</f>
        <v>28.507541509138964</v>
      </c>
      <c r="W17" s="76">
        <f>T17-V17</f>
        <v>129.86768909718862</v>
      </c>
      <c r="X17" s="76">
        <f>R17-L17</f>
        <v>-124.82539906384962</v>
      </c>
      <c r="Y17" s="76">
        <f>W17</f>
        <v>129.86768909718862</v>
      </c>
      <c r="Z17" s="76">
        <f>V17+X17+I17</f>
        <v>-96.317857554710656</v>
      </c>
      <c r="AA17" s="76">
        <f>IF(OR(E17="Кінцеве споживання",E17="Експорт"),S17,0)</f>
        <v>993.80764483894154</v>
      </c>
      <c r="AB17" s="76">
        <f>IF(E17="Перехід",Q17,0)</f>
        <v>0</v>
      </c>
      <c r="AC17" s="76">
        <f>IF(AND(E17="Перехід",D17="Платник ПДВ"),R17,0)</f>
        <v>0</v>
      </c>
      <c r="AD17" s="78"/>
      <c r="AE17" s="76">
        <f>IF($D$8=0,0,AA17/$D$8*100-100)</f>
        <v>-83.167756375744318</v>
      </c>
      <c r="AF17" s="76">
        <f>IF($D$8=0,0,AG17/$D$8*100-100)</f>
        <v>-83.167756375744318</v>
      </c>
      <c r="AG17" s="76">
        <f>S17</f>
        <v>993.80764483894154</v>
      </c>
      <c r="AH17" s="76" t="s">
        <v>87</v>
      </c>
      <c r="AI17" s="76">
        <f>IF($AG$41=0,0,AG17/$AG$41*100)</f>
        <v>7.5065600658581673</v>
      </c>
      <c r="AJ17" s="77" t="s">
        <v>83</v>
      </c>
      <c r="AK17" s="76">
        <v>41.83</v>
      </c>
      <c r="AL17" s="76">
        <f t="shared" si="0"/>
        <v>48.269229444758558</v>
      </c>
      <c r="AM17" s="76">
        <f t="shared" si="1"/>
        <v>6.4392294447585599</v>
      </c>
      <c r="AN17" s="76">
        <f t="shared" si="2"/>
        <v>6390.4543241940892</v>
      </c>
      <c r="AO17" s="77" t="str">
        <f t="shared" si="3"/>
        <v>Перевірити</v>
      </c>
    </row>
    <row r="18" spans="1:41" ht="24" customHeight="1" x14ac:dyDescent="0.2">
      <c r="A18" s="76">
        <v>2</v>
      </c>
      <c r="B18" s="76">
        <v>2.08555238626639E-3</v>
      </c>
      <c r="C18" s="77" t="s">
        <v>158</v>
      </c>
      <c r="D18" s="77" t="s">
        <v>79</v>
      </c>
      <c r="E18" s="77" t="s">
        <v>90</v>
      </c>
      <c r="F18" s="77" t="s">
        <v>88</v>
      </c>
      <c r="G18" s="76">
        <f t="shared" si="6"/>
        <v>0.1564939887084949</v>
      </c>
      <c r="H18" s="76">
        <f>$D$5</f>
        <v>20</v>
      </c>
      <c r="I18" s="76">
        <v>0</v>
      </c>
      <c r="J18" s="76">
        <v>0</v>
      </c>
      <c r="K18" s="76">
        <f t="shared" si="7"/>
        <v>2.8760636085273371E-2</v>
      </c>
      <c r="L18" s="76">
        <f>I18+J18+K18</f>
        <v>2.8760636085273371E-2</v>
      </c>
      <c r="M18" s="76">
        <v>0</v>
      </c>
      <c r="N18" s="76">
        <f>G18*$D$4/100</f>
        <v>3.5995423060140357E-2</v>
      </c>
      <c r="O18" s="76">
        <f>$I$9</f>
        <v>5.3903147418599501E-2</v>
      </c>
      <c r="P18" s="76">
        <f>(G18+M18+N18)*O18/100</f>
        <v>1.0375785139084247E-4</v>
      </c>
      <c r="Q18" s="76">
        <f>G18+M18+N18+P18</f>
        <v>0.19259316962002609</v>
      </c>
      <c r="R18" s="76">
        <f>Q18*H18/100</f>
        <v>3.8518633924005216E-2</v>
      </c>
      <c r="S18" s="76">
        <f>Q18+R18</f>
        <v>0.23111180354403132</v>
      </c>
      <c r="T18" s="76">
        <f>P18</f>
        <v>1.0375785139084247E-4</v>
      </c>
      <c r="U18" s="76">
        <f>$D$6</f>
        <v>18</v>
      </c>
      <c r="V18" s="76">
        <f>T18*U18/100</f>
        <v>1.8676413250351645E-5</v>
      </c>
      <c r="W18" s="76">
        <f>T18-V18</f>
        <v>8.5081438140490828E-5</v>
      </c>
      <c r="X18" s="76">
        <f>R18-L18</f>
        <v>9.7579978387318453E-3</v>
      </c>
      <c r="Y18" s="76">
        <f>W18</f>
        <v>8.5081438140490828E-5</v>
      </c>
      <c r="Z18" s="76">
        <f>V18+X18+I18</f>
        <v>9.7766742519821963E-3</v>
      </c>
      <c r="AA18" s="76">
        <f>IF(OR(E18="Кінцеве споживання",E18="Експорт"),S18,0)</f>
        <v>0.23111180354403132</v>
      </c>
      <c r="AB18" s="76">
        <f>IF(E18="Перехід",Q18,0)</f>
        <v>0</v>
      </c>
      <c r="AC18" s="76">
        <f>IF(AND(E18="Перехід",D18="Платник ПДВ"),R18,0)</f>
        <v>0</v>
      </c>
      <c r="AD18" s="78"/>
      <c r="AE18" s="76">
        <f>IF($D$8=0,0,AA18/$D$8*100-100)</f>
        <v>-99.996085630653084</v>
      </c>
      <c r="AF18" s="76">
        <f>IF($D$8=0,0,AG18/$D$8*100-100)</f>
        <v>-99.996085630653084</v>
      </c>
      <c r="AG18" s="76">
        <f>S18</f>
        <v>0.23111180354403132</v>
      </c>
      <c r="AH18" s="76" t="s">
        <v>83</v>
      </c>
      <c r="AI18" s="76">
        <f>IF($AG$41=0,0,AG18/$AG$41*100)</f>
        <v>1.7456644092461553E-3</v>
      </c>
    </row>
    <row r="19" spans="1:41" ht="24" customHeight="1" x14ac:dyDescent="0.2">
      <c r="A19" s="76">
        <v>2</v>
      </c>
      <c r="B19" s="76">
        <v>2.0855523862662101E-3</v>
      </c>
      <c r="C19" s="77" t="s">
        <v>159</v>
      </c>
      <c r="D19" s="77" t="s">
        <v>79</v>
      </c>
      <c r="E19" s="77" t="s">
        <v>75</v>
      </c>
      <c r="F19" s="77" t="s">
        <v>88</v>
      </c>
      <c r="G19" s="76">
        <f t="shared" si="6"/>
        <v>0.15649398870848139</v>
      </c>
      <c r="H19" s="76">
        <f>$D$5</f>
        <v>20</v>
      </c>
      <c r="I19" s="76">
        <v>0</v>
      </c>
      <c r="J19" s="76">
        <v>0</v>
      </c>
      <c r="K19" s="76">
        <f t="shared" si="7"/>
        <v>2.876063608527089E-2</v>
      </c>
      <c r="L19" s="76">
        <f>I19+J19+K19</f>
        <v>2.876063608527089E-2</v>
      </c>
      <c r="M19" s="76">
        <v>0</v>
      </c>
      <c r="N19" s="76">
        <f>G19*$D$4/100</f>
        <v>3.5995423060137248E-2</v>
      </c>
      <c r="O19" s="76">
        <f>$I$9</f>
        <v>5.3903147418599501E-2</v>
      </c>
      <c r="P19" s="76">
        <f>(G19+M19+N19)*O19/100</f>
        <v>1.0375785139083353E-4</v>
      </c>
      <c r="Q19" s="76">
        <f>G19+M19+N19+P19</f>
        <v>0.19259316962000947</v>
      </c>
      <c r="R19" s="76">
        <f>Q19*H19/100</f>
        <v>3.8518633924001892E-2</v>
      </c>
      <c r="S19" s="76">
        <f>Q19+R19</f>
        <v>0.23111180354401137</v>
      </c>
      <c r="T19" s="76">
        <f>P19</f>
        <v>1.0375785139083353E-4</v>
      </c>
      <c r="U19" s="76">
        <f>$D$6</f>
        <v>18</v>
      </c>
      <c r="V19" s="76">
        <f>T19*U19/100</f>
        <v>1.8676413250350036E-5</v>
      </c>
      <c r="W19" s="76">
        <f>T19-V19</f>
        <v>8.5081438140483496E-5</v>
      </c>
      <c r="X19" s="76">
        <f>R19-L19</f>
        <v>9.7579978387310022E-3</v>
      </c>
      <c r="Y19" s="76">
        <f>W19</f>
        <v>8.5081438140483496E-5</v>
      </c>
      <c r="Z19" s="76">
        <f>V19+X19+I19</f>
        <v>9.7766742519813515E-3</v>
      </c>
      <c r="AA19" s="76">
        <f>IF(OR(E19="Кінцеве споживання",E19="Експорт"),S19,0)</f>
        <v>0</v>
      </c>
      <c r="AB19" s="76">
        <f>IF(E19="Перехід",Q19,0)</f>
        <v>0.19259316962000947</v>
      </c>
      <c r="AC19" s="76">
        <f>IF(AND(E19="Перехід",D19="Платник ПДВ"),R19,0)</f>
        <v>3.8518633924001892E-2</v>
      </c>
      <c r="AD19" s="78"/>
      <c r="AE19" s="76">
        <f>IF($D$8=0,0,AA19/$D$8*100-100)</f>
        <v>-100</v>
      </c>
      <c r="AF19" s="76">
        <f>IF($D$8=0,0,AG19/$D$8*100-100)</f>
        <v>-99.996085630653084</v>
      </c>
      <c r="AG19" s="76">
        <f>S19</f>
        <v>0.23111180354401137</v>
      </c>
      <c r="AH19" s="76" t="s">
        <v>83</v>
      </c>
      <c r="AI19" s="76">
        <f>IF($AG$41=0,0,AG19/$AG$41*100)</f>
        <v>1.7456644092460046E-3</v>
      </c>
    </row>
    <row r="20" spans="1:41" ht="24" customHeight="1" x14ac:dyDescent="0.2">
      <c r="A20" s="76">
        <v>2</v>
      </c>
      <c r="B20" s="76">
        <v>7.7549278399394703</v>
      </c>
      <c r="C20" s="77" t="s">
        <v>93</v>
      </c>
      <c r="D20" s="77" t="s">
        <v>79</v>
      </c>
      <c r="E20" s="77" t="s">
        <v>75</v>
      </c>
      <c r="F20" s="77" t="s">
        <v>88</v>
      </c>
      <c r="G20" s="76">
        <f t="shared" si="6"/>
        <v>581.90798649335181</v>
      </c>
      <c r="H20" s="76">
        <f>$D$5</f>
        <v>20</v>
      </c>
      <c r="I20" s="76">
        <v>0</v>
      </c>
      <c r="J20" s="76">
        <v>0</v>
      </c>
      <c r="K20" s="76">
        <f t="shared" si="7"/>
        <v>106.94368501159552</v>
      </c>
      <c r="L20" s="76">
        <f>I20+J20+K20</f>
        <v>106.94368501159552</v>
      </c>
      <c r="M20" s="76">
        <v>0</v>
      </c>
      <c r="N20" s="76">
        <f>G20*$D$4/100</f>
        <v>133.84555105767865</v>
      </c>
      <c r="O20" s="76">
        <f>$I$8</f>
        <v>6.9654082687254597</v>
      </c>
      <c r="P20" s="76">
        <f>(G20+M20+N20)*O20/100</f>
        <v>49.855156088274462</v>
      </c>
      <c r="Q20" s="76">
        <f>G20+M20+N20+P20</f>
        <v>765.60869363930499</v>
      </c>
      <c r="R20" s="76">
        <f>Q20*H20/100</f>
        <v>153.12173872786099</v>
      </c>
      <c r="S20" s="76">
        <f>Q20+R20</f>
        <v>918.73043236716603</v>
      </c>
      <c r="T20" s="76">
        <f>P20</f>
        <v>49.855156088274462</v>
      </c>
      <c r="U20" s="76">
        <f>$D$6</f>
        <v>18</v>
      </c>
      <c r="V20" s="76">
        <f>T20*U20/100</f>
        <v>8.9739280958894021</v>
      </c>
      <c r="W20" s="76">
        <f>T20-V20</f>
        <v>40.881227992385064</v>
      </c>
      <c r="X20" s="76">
        <f>R20-L20</f>
        <v>46.178053716265467</v>
      </c>
      <c r="Y20" s="76">
        <f>W20</f>
        <v>40.881227992385064</v>
      </c>
      <c r="Z20" s="76">
        <f>V20+X20+I20</f>
        <v>55.151981812154872</v>
      </c>
      <c r="AA20" s="76">
        <f>IF(OR(E20="Кінцеве споживання",E20="Експорт"),S20,0)</f>
        <v>0</v>
      </c>
      <c r="AB20" s="76">
        <f>IF(E20="Перехід",Q20,0)</f>
        <v>765.60869363930499</v>
      </c>
      <c r="AC20" s="76">
        <f>IF(AND(E20="Перехід",D20="Платник ПДВ"),R20,0)</f>
        <v>153.12173872786099</v>
      </c>
      <c r="AD20" s="78"/>
      <c r="AE20" s="76">
        <f>IF($D$8=0,0,AA20/$D$8*100-100)</f>
        <v>-100</v>
      </c>
      <c r="AF20" s="76">
        <f>IF($D$8=0,0,AG20/$D$8*100-100)</f>
        <v>-84.439348456483174</v>
      </c>
      <c r="AG20" s="76">
        <f>S20</f>
        <v>918.73043236716603</v>
      </c>
      <c r="AH20" s="76" t="s">
        <v>94</v>
      </c>
      <c r="AI20" s="76">
        <f>IF($AG$41=0,0,AG20/$AG$41*100)</f>
        <v>6.9394768803711884</v>
      </c>
    </row>
    <row r="21" spans="1:41" ht="24" customHeight="1" x14ac:dyDescent="0.2">
      <c r="A21" s="76">
        <v>2</v>
      </c>
      <c r="B21" s="76">
        <v>2.0855523862851701E-3</v>
      </c>
      <c r="C21" s="77" t="s">
        <v>231</v>
      </c>
      <c r="D21" s="77" t="s">
        <v>74</v>
      </c>
      <c r="E21" s="77" t="s">
        <v>75</v>
      </c>
      <c r="F21" s="77" t="s">
        <v>88</v>
      </c>
      <c r="G21" s="76">
        <f t="shared" si="6"/>
        <v>0.15649398870990411</v>
      </c>
      <c r="H21" s="76">
        <v>0</v>
      </c>
      <c r="I21" s="76">
        <v>0</v>
      </c>
      <c r="J21" s="76">
        <v>0</v>
      </c>
      <c r="K21" s="76">
        <f t="shared" si="7"/>
        <v>2.8760636085532355E-2</v>
      </c>
      <c r="L21" s="76">
        <v>0</v>
      </c>
      <c r="M21" s="76">
        <f>I21+K21</f>
        <v>2.8760636085532355E-2</v>
      </c>
      <c r="N21" s="76">
        <f>G21*$D$4/100</f>
        <v>3.5995423060464493E-2</v>
      </c>
      <c r="O21" s="76">
        <f>$I$8</f>
        <v>6.9654082687254597</v>
      </c>
      <c r="P21" s="76">
        <f>(G21+M21+N21)*O21/100</f>
        <v>1.5410969127913962E-2</v>
      </c>
      <c r="Q21" s="76">
        <f>G21+M21+N21+P21</f>
        <v>0.23666101698381492</v>
      </c>
      <c r="R21" s="76">
        <f>Q21*H21/100</f>
        <v>0</v>
      </c>
      <c r="S21" s="76">
        <f>Q21+R21</f>
        <v>0.23666101698381492</v>
      </c>
      <c r="T21" s="76">
        <f>P21</f>
        <v>1.5410969127913962E-2</v>
      </c>
      <c r="U21" s="76">
        <f>$D$6</f>
        <v>18</v>
      </c>
      <c r="V21" s="76">
        <f>T21*U21/100</f>
        <v>2.7739744430245131E-3</v>
      </c>
      <c r="W21" s="76">
        <f>T21-V21</f>
        <v>1.2636994684889449E-2</v>
      </c>
      <c r="X21" s="76">
        <f>R21-L21</f>
        <v>0</v>
      </c>
      <c r="Y21" s="76">
        <f>W21</f>
        <v>1.2636994684889449E-2</v>
      </c>
      <c r="Z21" s="76">
        <f>V21+X21+I21</f>
        <v>2.7739744430245131E-3</v>
      </c>
      <c r="AA21" s="76">
        <f>IF(OR(E21="Кінцеве споживання",E21="Експорт"),S21,0)</f>
        <v>0</v>
      </c>
      <c r="AB21" s="76">
        <f>IF(E21="Перехід",Q21,0)</f>
        <v>0.23666101698381492</v>
      </c>
      <c r="AC21" s="76">
        <f>IF(AND(E21="Перехід",D21="Платник ПДВ"),R21,0)</f>
        <v>0</v>
      </c>
      <c r="AD21" s="78"/>
      <c r="AE21" s="76">
        <f>IF($D$8=0,0,AA21/$D$8*100-100)</f>
        <v>-100</v>
      </c>
      <c r="AF21" s="76">
        <f>IF($D$8=0,0,AG21/$D$8*100-100)</f>
        <v>-99.995991642935209</v>
      </c>
      <c r="AG21" s="76">
        <f>S21</f>
        <v>0.23666101698381492</v>
      </c>
      <c r="AH21" s="76" t="s">
        <v>92</v>
      </c>
      <c r="AI21" s="76">
        <f>IF($AG$41=0,0,AG21/$AG$41*100)</f>
        <v>1.7875794661692218E-3</v>
      </c>
    </row>
    <row r="22" spans="1:41" ht="24" customHeight="1" x14ac:dyDescent="0.2">
      <c r="A22" s="76">
        <v>2</v>
      </c>
      <c r="B22" s="76">
        <v>83.187210798735805</v>
      </c>
      <c r="C22" s="77" t="s">
        <v>232</v>
      </c>
      <c r="D22" s="81"/>
      <c r="E22" s="77" t="s">
        <v>233</v>
      </c>
      <c r="F22" s="77" t="s">
        <v>234</v>
      </c>
      <c r="G22" s="76">
        <f t="shared" si="6"/>
        <v>6242.1344643057564</v>
      </c>
      <c r="H22" s="76">
        <v>0</v>
      </c>
      <c r="I22" s="76">
        <v>0</v>
      </c>
      <c r="J22" s="76">
        <v>0</v>
      </c>
      <c r="K22" s="76">
        <f t="shared" si="7"/>
        <v>1147.1862862263124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76">
        <v>0</v>
      </c>
      <c r="S22" s="76">
        <v>0</v>
      </c>
      <c r="T22" s="76">
        <v>0</v>
      </c>
      <c r="U22" s="76">
        <v>0</v>
      </c>
      <c r="V22" s="76">
        <v>0</v>
      </c>
      <c r="W22" s="76">
        <v>0</v>
      </c>
      <c r="X22" s="76">
        <v>0</v>
      </c>
      <c r="Y22" s="76">
        <v>0</v>
      </c>
      <c r="Z22" s="76">
        <v>0</v>
      </c>
      <c r="AA22" s="76">
        <v>0</v>
      </c>
      <c r="AB22" s="76">
        <v>0</v>
      </c>
      <c r="AC22" s="76">
        <v>0</v>
      </c>
      <c r="AD22" s="78"/>
      <c r="AE22" s="76">
        <v>0</v>
      </c>
      <c r="AF22" s="76">
        <v>0</v>
      </c>
      <c r="AG22" s="76">
        <v>0</v>
      </c>
      <c r="AH22" s="78"/>
      <c r="AI22" s="76">
        <v>0</v>
      </c>
    </row>
    <row r="23" spans="1:41" ht="24" customHeight="1" x14ac:dyDescent="0.2">
      <c r="A23" s="79">
        <v>2</v>
      </c>
      <c r="B23" s="79">
        <f>SUM(B17:B22)</f>
        <v>100.00000000000006</v>
      </c>
      <c r="C23" s="80" t="s">
        <v>95</v>
      </c>
      <c r="D23" s="80"/>
      <c r="E23" s="80" t="s">
        <v>85</v>
      </c>
      <c r="F23" s="80"/>
      <c r="G23" s="79">
        <f>SUM(G17:G22)</f>
        <v>7503.7189062728157</v>
      </c>
      <c r="H23" s="79"/>
      <c r="I23" s="79">
        <f t="shared" ref="I23:N23" si="8">SUM(I17:I22)</f>
        <v>0</v>
      </c>
      <c r="J23" s="79">
        <f t="shared" si="8"/>
        <v>0</v>
      </c>
      <c r="K23" s="79">
        <f t="shared" si="8"/>
        <v>1379.0416522100136</v>
      </c>
      <c r="L23" s="79">
        <f t="shared" si="8"/>
        <v>231.82660534761567</v>
      </c>
      <c r="M23" s="79">
        <f t="shared" si="8"/>
        <v>2.8760636085532355E-2</v>
      </c>
      <c r="N23" s="79">
        <f t="shared" si="8"/>
        <v>290.17897805189222</v>
      </c>
      <c r="O23" s="79"/>
      <c r="P23" s="79">
        <f>SUM(P17:P22)</f>
        <v>208.24600517943273</v>
      </c>
      <c r="Q23" s="79">
        <f>SUM(Q17:Q22)</f>
        <v>1760.0381858344704</v>
      </c>
      <c r="R23" s="79">
        <f>SUM(R17:R22)</f>
        <v>153.19877599570898</v>
      </c>
      <c r="S23" s="79">
        <f>SUM(S17:S22)</f>
        <v>1913.2369618301796</v>
      </c>
      <c r="T23" s="79">
        <f>SUM(T17:T22)</f>
        <v>208.24600517943273</v>
      </c>
      <c r="U23" s="79"/>
      <c r="V23" s="79">
        <f t="shared" ref="V23:AC23" si="9">SUM(V17:V22)</f>
        <v>37.484280932297892</v>
      </c>
      <c r="W23" s="79">
        <f t="shared" si="9"/>
        <v>170.76172424713485</v>
      </c>
      <c r="X23" s="79">
        <f t="shared" si="9"/>
        <v>-78.627829351906684</v>
      </c>
      <c r="Y23" s="79">
        <f t="shared" si="9"/>
        <v>170.76172424713485</v>
      </c>
      <c r="Z23" s="79">
        <f t="shared" si="9"/>
        <v>-41.143548419608798</v>
      </c>
      <c r="AA23" s="79">
        <f t="shared" si="9"/>
        <v>994.03875664248562</v>
      </c>
      <c r="AB23" s="79">
        <f t="shared" si="9"/>
        <v>766.03794782590876</v>
      </c>
      <c r="AC23" s="79">
        <f t="shared" si="9"/>
        <v>153.160257361785</v>
      </c>
      <c r="AD23" s="79" t="str">
        <f>IF(ABS(B23-100)&lt;=0.01,"ОК","ПОМИЛКА")</f>
        <v>ОК</v>
      </c>
      <c r="AE23" s="79">
        <f>IF($D$8=0,0,AA23/$D$8*100-100)</f>
        <v>-83.163842006397402</v>
      </c>
      <c r="AF23" s="79">
        <f>IF($D$8=0,0,AG23/$D$8*100-100)</f>
        <v>-67.595267736468855</v>
      </c>
      <c r="AG23" s="79">
        <f>SUM(AG17:AG22)</f>
        <v>1913.2369618301796</v>
      </c>
      <c r="AH23" s="79"/>
      <c r="AI23" s="79"/>
    </row>
    <row r="24" spans="1:41" ht="24" customHeight="1" x14ac:dyDescent="0.2">
      <c r="A24" s="81"/>
      <c r="B24" s="81"/>
      <c r="C24" s="81"/>
      <c r="D24" s="81"/>
      <c r="E24" s="81"/>
      <c r="F24" s="81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</row>
    <row r="25" spans="1:41" ht="24" customHeight="1" x14ac:dyDescent="0.2">
      <c r="A25" s="76">
        <v>3</v>
      </c>
      <c r="B25" s="76">
        <v>23.306609955459599</v>
      </c>
      <c r="C25" s="77" t="s">
        <v>86</v>
      </c>
      <c r="D25" s="77" t="s">
        <v>79</v>
      </c>
      <c r="E25" s="77" t="s">
        <v>87</v>
      </c>
      <c r="F25" s="77" t="s">
        <v>88</v>
      </c>
      <c r="G25" s="76">
        <f t="shared" ref="G25:G30" si="10">$AB$23*B25/100</f>
        <v>178.53747661059165</v>
      </c>
      <c r="H25" s="76">
        <v>0</v>
      </c>
      <c r="I25" s="76">
        <v>0</v>
      </c>
      <c r="J25" s="76">
        <v>0</v>
      </c>
      <c r="K25" s="76">
        <f t="shared" ref="K25:K30" si="11">$AC$23*B25/100</f>
        <v>35.696463790089325</v>
      </c>
      <c r="L25" s="76">
        <f>I25+J25+K25</f>
        <v>35.696463790089325</v>
      </c>
      <c r="M25" s="76">
        <v>0</v>
      </c>
      <c r="N25" s="76">
        <f>G25*$D$4/100</f>
        <v>41.065679619547666</v>
      </c>
      <c r="O25" s="76">
        <f>$N$4</f>
        <v>18.957276244997399</v>
      </c>
      <c r="P25" s="76">
        <f>(G25+M25+N25)*O25/100</f>
        <v>41.630776969280724</v>
      </c>
      <c r="Q25" s="76">
        <f>G25+M25+N25+P25</f>
        <v>261.23393319942005</v>
      </c>
      <c r="R25" s="76">
        <f>Q25*H25/100</f>
        <v>0</v>
      </c>
      <c r="S25" s="76">
        <f>Q25+R25</f>
        <v>261.23393319942005</v>
      </c>
      <c r="T25" s="76">
        <f>P25</f>
        <v>41.630776969280724</v>
      </c>
      <c r="U25" s="76">
        <f>$D$6</f>
        <v>18</v>
      </c>
      <c r="V25" s="76">
        <f>T25*U25/100</f>
        <v>7.4935398544705301</v>
      </c>
      <c r="W25" s="76">
        <f>T25-V25</f>
        <v>34.137237114810191</v>
      </c>
      <c r="X25" s="76">
        <f>R25-L25</f>
        <v>-35.696463790089325</v>
      </c>
      <c r="Y25" s="76">
        <f>W25</f>
        <v>34.137237114810191</v>
      </c>
      <c r="Z25" s="76">
        <f>V25+X25+I25</f>
        <v>-28.202923935618795</v>
      </c>
      <c r="AA25" s="76">
        <f>IF(OR(E25="Кінцеве споживання",E25="Експорт"),S25,0)</f>
        <v>261.23393319942005</v>
      </c>
      <c r="AB25" s="76">
        <f>IF(E25="Перехід",Q25,0)</f>
        <v>0</v>
      </c>
      <c r="AC25" s="76">
        <f>IF(AND(E25="Перехід",D25="Платник ПДВ"),R25,0)</f>
        <v>0</v>
      </c>
      <c r="AD25" s="78"/>
      <c r="AE25" s="76">
        <f>IF($D$8=0,0,AA25/$D$8*100-100)</f>
        <v>-95.575448398520038</v>
      </c>
      <c r="AF25" s="76">
        <f>IF($D$8=0,0,AG25/$D$8*100-100)</f>
        <v>-95.575448398520038</v>
      </c>
      <c r="AG25" s="76">
        <f>S25</f>
        <v>261.23393319942005</v>
      </c>
      <c r="AH25" s="76" t="s">
        <v>87</v>
      </c>
      <c r="AI25" s="76">
        <f>IF($AG$41=0,0,AG25/$AG$41*100)</f>
        <v>1.9731868847915988</v>
      </c>
    </row>
    <row r="26" spans="1:41" ht="24" customHeight="1" x14ac:dyDescent="0.2">
      <c r="A26" s="76">
        <v>3</v>
      </c>
      <c r="B26" s="76">
        <v>1.17947717011243E-16</v>
      </c>
      <c r="C26" s="77" t="s">
        <v>158</v>
      </c>
      <c r="D26" s="77" t="s">
        <v>79</v>
      </c>
      <c r="E26" s="77" t="s">
        <v>90</v>
      </c>
      <c r="F26" s="77" t="s">
        <v>88</v>
      </c>
      <c r="G26" s="76">
        <f t="shared" si="10"/>
        <v>9.0352427090043617E-16</v>
      </c>
      <c r="H26" s="76">
        <f>$D$5</f>
        <v>20</v>
      </c>
      <c r="I26" s="76">
        <v>0</v>
      </c>
      <c r="J26" s="76">
        <v>0</v>
      </c>
      <c r="K26" s="76">
        <f t="shared" si="11"/>
        <v>1.8064902692676965E-16</v>
      </c>
      <c r="L26" s="76">
        <f>I26+J26+K26</f>
        <v>1.8064902692676965E-16</v>
      </c>
      <c r="M26" s="76">
        <v>0</v>
      </c>
      <c r="N26" s="76">
        <f>G26*$D$4/100</f>
        <v>2.078210073407161E-16</v>
      </c>
      <c r="O26" s="76">
        <f>$I$9</f>
        <v>5.3903147418599501E-2</v>
      </c>
      <c r="P26" s="76">
        <f>(G26+M26+N26)*O26/100</f>
        <v>5.990500836599731E-19</v>
      </c>
      <c r="Q26" s="76">
        <f>G26+M26+N26+P26</f>
        <v>1.1119443283248121E-15</v>
      </c>
      <c r="R26" s="76">
        <f>Q26*H26/100</f>
        <v>2.2238886566496247E-16</v>
      </c>
      <c r="S26" s="76">
        <f>Q26+R26</f>
        <v>1.3343331939897746E-15</v>
      </c>
      <c r="T26" s="76">
        <f>P26</f>
        <v>5.990500836599731E-19</v>
      </c>
      <c r="U26" s="76">
        <f>$D$6</f>
        <v>18</v>
      </c>
      <c r="V26" s="76">
        <f>T26*U26/100</f>
        <v>1.0782901505879516E-19</v>
      </c>
      <c r="W26" s="76">
        <f>T26-V26</f>
        <v>4.9122106860117789E-19</v>
      </c>
      <c r="X26" s="76">
        <f>R26-L26</f>
        <v>4.1739838738192816E-17</v>
      </c>
      <c r="Y26" s="76">
        <f>W26</f>
        <v>4.9122106860117789E-19</v>
      </c>
      <c r="Z26" s="76">
        <f>V26+X26+I26</f>
        <v>4.1847667753251609E-17</v>
      </c>
      <c r="AA26" s="76">
        <f>IF(OR(E26="Кінцеве споживання",E26="Експорт"),S26,0)</f>
        <v>1.3343331939897746E-15</v>
      </c>
      <c r="AB26" s="76">
        <f>IF(E26="Перехід",Q26,0)</f>
        <v>0</v>
      </c>
      <c r="AC26" s="76">
        <f>IF(AND(E26="Перехід",D26="Платник ПДВ"),R26,0)</f>
        <v>0</v>
      </c>
      <c r="AD26" s="78"/>
      <c r="AE26" s="76">
        <f>IF($D$8=0,0,AA26/$D$8*100-100)</f>
        <v>-100</v>
      </c>
      <c r="AF26" s="76">
        <f>IF($D$8=0,0,AG26/$D$8*100-100)</f>
        <v>-100</v>
      </c>
      <c r="AG26" s="76">
        <f>S26</f>
        <v>1.3343331939897746E-15</v>
      </c>
      <c r="AH26" s="76" t="s">
        <v>83</v>
      </c>
      <c r="AI26" s="76">
        <f>IF($AG$41=0,0,AG26/$AG$41*100)</f>
        <v>1.0078662928957319E-17</v>
      </c>
    </row>
    <row r="27" spans="1:41" ht="24" customHeight="1" x14ac:dyDescent="0.2">
      <c r="A27" s="76">
        <v>3</v>
      </c>
      <c r="B27" s="76">
        <v>1.01486935735013E-16</v>
      </c>
      <c r="C27" s="77" t="s">
        <v>159</v>
      </c>
      <c r="D27" s="77" t="s">
        <v>79</v>
      </c>
      <c r="E27" s="77" t="s">
        <v>75</v>
      </c>
      <c r="F27" s="77" t="s">
        <v>88</v>
      </c>
      <c r="G27" s="76">
        <f t="shared" si="10"/>
        <v>7.7742843981589246E-16</v>
      </c>
      <c r="H27" s="76">
        <f>$D$5</f>
        <v>20</v>
      </c>
      <c r="I27" s="76">
        <v>0</v>
      </c>
      <c r="J27" s="76">
        <v>0</v>
      </c>
      <c r="K27" s="76">
        <f t="shared" si="11"/>
        <v>1.5543765196033525E-16</v>
      </c>
      <c r="L27" s="76">
        <f>I27+J27+K27</f>
        <v>1.5543765196033525E-16</v>
      </c>
      <c r="M27" s="76">
        <v>0</v>
      </c>
      <c r="N27" s="76">
        <f>G27*$D$4/100</f>
        <v>1.7881751127376613E-16</v>
      </c>
      <c r="O27" s="76">
        <f>$I$9</f>
        <v>5.3903147418599501E-2</v>
      </c>
      <c r="P27" s="76">
        <f>(G27+M27+N27)*O27/100</f>
        <v>5.1544666470024755E-19</v>
      </c>
      <c r="Q27" s="76">
        <f>G27+M27+N27+P27</f>
        <v>9.5676139775435887E-16</v>
      </c>
      <c r="R27" s="76">
        <f>Q27*H27/100</f>
        <v>1.9135227955087178E-16</v>
      </c>
      <c r="S27" s="76">
        <f>Q27+R27</f>
        <v>1.1481136773052306E-15</v>
      </c>
      <c r="T27" s="76">
        <f>P27</f>
        <v>5.1544666470024755E-19</v>
      </c>
      <c r="U27" s="76">
        <f>$D$6</f>
        <v>18</v>
      </c>
      <c r="V27" s="76">
        <f>T27*U27/100</f>
        <v>9.2780399646044572E-20</v>
      </c>
      <c r="W27" s="76">
        <f>T27-V27</f>
        <v>4.2266626505420299E-19</v>
      </c>
      <c r="X27" s="76">
        <f>R27-L27</f>
        <v>3.5914627590536536E-17</v>
      </c>
      <c r="Y27" s="76">
        <f>W27</f>
        <v>4.2266626505420299E-19</v>
      </c>
      <c r="Z27" s="76">
        <f>V27+X27+I27</f>
        <v>3.6007407990182584E-17</v>
      </c>
      <c r="AA27" s="76">
        <f>IF(OR(E27="Кінцеве споживання",E27="Експорт"),S27,0)</f>
        <v>0</v>
      </c>
      <c r="AB27" s="76">
        <f>IF(E27="Перехід",Q27,0)</f>
        <v>9.5676139775435887E-16</v>
      </c>
      <c r="AC27" s="76">
        <f>IF(AND(E27="Перехід",D27="Платник ПДВ"),R27,0)</f>
        <v>1.9135227955087178E-16</v>
      </c>
      <c r="AD27" s="78"/>
      <c r="AE27" s="76">
        <f>IF($D$8=0,0,AA27/$D$8*100-100)</f>
        <v>-100</v>
      </c>
      <c r="AF27" s="76">
        <f>IF($D$8=0,0,AG27/$D$8*100-100)</f>
        <v>-100</v>
      </c>
      <c r="AG27" s="76">
        <f>S27</f>
        <v>1.1481136773052306E-15</v>
      </c>
      <c r="AH27" s="76" t="s">
        <v>83</v>
      </c>
      <c r="AI27" s="76">
        <f>IF($AG$41=0,0,AG27/$AG$41*100)</f>
        <v>8.6720849108800399E-18</v>
      </c>
    </row>
    <row r="28" spans="1:41" ht="24" customHeight="1" x14ac:dyDescent="0.2">
      <c r="A28" s="76">
        <v>3</v>
      </c>
      <c r="B28" s="76">
        <v>62.893070691790697</v>
      </c>
      <c r="C28" s="77" t="s">
        <v>93</v>
      </c>
      <c r="D28" s="77" t="s">
        <v>79</v>
      </c>
      <c r="E28" s="77" t="s">
        <v>75</v>
      </c>
      <c r="F28" s="77" t="s">
        <v>88</v>
      </c>
      <c r="G28" s="76">
        <f t="shared" si="10"/>
        <v>481.78478805209153</v>
      </c>
      <c r="H28" s="76">
        <f>$D$5</f>
        <v>20</v>
      </c>
      <c r="I28" s="76">
        <v>0</v>
      </c>
      <c r="J28" s="76">
        <v>0</v>
      </c>
      <c r="K28" s="76">
        <f t="shared" si="11"/>
        <v>96.327188934275995</v>
      </c>
      <c r="L28" s="76">
        <f>I28+J28+K28</f>
        <v>96.327188934275995</v>
      </c>
      <c r="M28" s="76">
        <v>0</v>
      </c>
      <c r="N28" s="76">
        <f>G28*$D$4/100</f>
        <v>110.81606017582271</v>
      </c>
      <c r="O28" s="76">
        <f>$I$8</f>
        <v>6.9654082687254597</v>
      </c>
      <c r="P28" s="76">
        <f>(G28+M28+N28)*O28/100</f>
        <v>41.277068483004349</v>
      </c>
      <c r="Q28" s="76">
        <f>G28+M28+N28+P28</f>
        <v>633.8779167109185</v>
      </c>
      <c r="R28" s="76">
        <f>Q28*H28/100</f>
        <v>126.77558334218371</v>
      </c>
      <c r="S28" s="76">
        <f>Q28+R28</f>
        <v>760.65350005310222</v>
      </c>
      <c r="T28" s="76">
        <f>P28</f>
        <v>41.277068483004349</v>
      </c>
      <c r="U28" s="76">
        <f>$D$6</f>
        <v>18</v>
      </c>
      <c r="V28" s="76">
        <f>T28*U28/100</f>
        <v>7.4298723269407834</v>
      </c>
      <c r="W28" s="76">
        <f>T28-V28</f>
        <v>33.847196156063568</v>
      </c>
      <c r="X28" s="76">
        <f>R28-L28</f>
        <v>30.448394407907713</v>
      </c>
      <c r="Y28" s="76">
        <f>W28</f>
        <v>33.847196156063568</v>
      </c>
      <c r="Z28" s="76">
        <f>V28+X28+I28</f>
        <v>37.878266734848495</v>
      </c>
      <c r="AA28" s="76">
        <f>IF(OR(E28="Кінцеве споживання",E28="Експорт"),S28,0)</f>
        <v>0</v>
      </c>
      <c r="AB28" s="76">
        <f>IF(E28="Перехід",Q28,0)</f>
        <v>633.8779167109185</v>
      </c>
      <c r="AC28" s="76">
        <f>IF(AND(E28="Перехід",D28="Платник ПДВ"),R28,0)</f>
        <v>126.77558334218371</v>
      </c>
      <c r="AD28" s="78"/>
      <c r="AE28" s="76">
        <f>IF($D$8=0,0,AA28/$D$8*100-100)</f>
        <v>-100</v>
      </c>
      <c r="AF28" s="76">
        <f>IF($D$8=0,0,AG28/$D$8*100-100)</f>
        <v>-87.116717110169176</v>
      </c>
      <c r="AG28" s="76">
        <f>S28</f>
        <v>760.65350005310222</v>
      </c>
      <c r="AH28" s="76" t="s">
        <v>94</v>
      </c>
      <c r="AI28" s="76">
        <f>IF($AG$41=0,0,AG28/$AG$41*100)</f>
        <v>5.7454691731408616</v>
      </c>
    </row>
    <row r="29" spans="1:41" ht="24" customHeight="1" x14ac:dyDescent="0.2">
      <c r="A29" s="76">
        <v>3</v>
      </c>
      <c r="B29" s="76">
        <v>13.112523640093301</v>
      </c>
      <c r="C29" s="77" t="s">
        <v>231</v>
      </c>
      <c r="D29" s="77" t="s">
        <v>74</v>
      </c>
      <c r="E29" s="77" t="s">
        <v>75</v>
      </c>
      <c r="F29" s="77" t="s">
        <v>88</v>
      </c>
      <c r="G29" s="76">
        <f t="shared" si="10"/>
        <v>100.44690700075788</v>
      </c>
      <c r="H29" s="76">
        <v>0</v>
      </c>
      <c r="I29" s="76">
        <v>0</v>
      </c>
      <c r="J29" s="76">
        <v>0</v>
      </c>
      <c r="K29" s="76">
        <f t="shared" si="11"/>
        <v>20.083174953791797</v>
      </c>
      <c r="L29" s="76">
        <v>0</v>
      </c>
      <c r="M29" s="76">
        <f>I29+K29</f>
        <v>20.083174953791797</v>
      </c>
      <c r="N29" s="76">
        <f>G29*$D$4/100</f>
        <v>23.103947585550859</v>
      </c>
      <c r="O29" s="76">
        <f>$I$8</f>
        <v>6.9654082687254597</v>
      </c>
      <c r="P29" s="76">
        <f>(G29+M29+N29)*O29/100</f>
        <v>10.004696570289731</v>
      </c>
      <c r="Q29" s="76">
        <f>G29+M29+N29+P29</f>
        <v>153.63872611039025</v>
      </c>
      <c r="R29" s="76">
        <f>Q29*H29/100</f>
        <v>0</v>
      </c>
      <c r="S29" s="76">
        <f>Q29+R29</f>
        <v>153.63872611039025</v>
      </c>
      <c r="T29" s="76">
        <f>P29</f>
        <v>10.004696570289731</v>
      </c>
      <c r="U29" s="76">
        <f>$D$6</f>
        <v>18</v>
      </c>
      <c r="V29" s="76">
        <f>T29*U29/100</f>
        <v>1.8008453826521515</v>
      </c>
      <c r="W29" s="76">
        <f>T29-V29</f>
        <v>8.2038511876375786</v>
      </c>
      <c r="X29" s="76">
        <f>R29-L29</f>
        <v>0</v>
      </c>
      <c r="Y29" s="76">
        <f>W29</f>
        <v>8.2038511876375786</v>
      </c>
      <c r="Z29" s="76">
        <f>V29+X29+I29</f>
        <v>1.8008453826521515</v>
      </c>
      <c r="AA29" s="76">
        <f>IF(OR(E29="Кінцеве споживання",E29="Експорт"),S29,0)</f>
        <v>0</v>
      </c>
      <c r="AB29" s="76">
        <f>IF(E29="Перехід",Q29,0)</f>
        <v>153.63872611039025</v>
      </c>
      <c r="AC29" s="76">
        <f>IF(AND(E29="Перехід",D29="Платник ПДВ"),R29,0)</f>
        <v>0</v>
      </c>
      <c r="AD29" s="78"/>
      <c r="AE29" s="76">
        <f>IF($D$8=0,0,AA29/$D$8*100-100)</f>
        <v>-100</v>
      </c>
      <c r="AF29" s="76">
        <f>IF($D$8=0,0,AG29/$D$8*100-100)</f>
        <v>-97.397801796514159</v>
      </c>
      <c r="AG29" s="76">
        <f>S29</f>
        <v>153.63872611039025</v>
      </c>
      <c r="AH29" s="76" t="s">
        <v>92</v>
      </c>
      <c r="AI29" s="76">
        <f>IF($AG$41=0,0,AG29/$AG$41*100)</f>
        <v>1.1604844579118545</v>
      </c>
    </row>
    <row r="30" spans="1:41" ht="24" customHeight="1" x14ac:dyDescent="0.2">
      <c r="A30" s="76">
        <v>3</v>
      </c>
      <c r="B30" s="76">
        <v>0.68779571265639206</v>
      </c>
      <c r="C30" s="77" t="s">
        <v>232</v>
      </c>
      <c r="D30" s="81"/>
      <c r="E30" s="77" t="s">
        <v>233</v>
      </c>
      <c r="F30" s="77" t="s">
        <v>234</v>
      </c>
      <c r="G30" s="76">
        <f t="shared" si="10"/>
        <v>5.2687761624676099</v>
      </c>
      <c r="H30" s="76">
        <v>0</v>
      </c>
      <c r="I30" s="76">
        <v>0</v>
      </c>
      <c r="J30" s="76">
        <v>0</v>
      </c>
      <c r="K30" s="76">
        <f t="shared" si="11"/>
        <v>1.0534296836278534</v>
      </c>
      <c r="L30" s="76">
        <v>0</v>
      </c>
      <c r="M30" s="76">
        <v>0</v>
      </c>
      <c r="N30" s="76">
        <v>0</v>
      </c>
      <c r="O30" s="76">
        <v>0</v>
      </c>
      <c r="P30" s="76">
        <v>0</v>
      </c>
      <c r="Q30" s="76">
        <v>0</v>
      </c>
      <c r="R30" s="76">
        <v>0</v>
      </c>
      <c r="S30" s="76">
        <v>0</v>
      </c>
      <c r="T30" s="76">
        <v>0</v>
      </c>
      <c r="U30" s="76">
        <v>0</v>
      </c>
      <c r="V30" s="76">
        <v>0</v>
      </c>
      <c r="W30" s="76">
        <v>0</v>
      </c>
      <c r="X30" s="76">
        <v>0</v>
      </c>
      <c r="Y30" s="76">
        <v>0</v>
      </c>
      <c r="Z30" s="76">
        <v>0</v>
      </c>
      <c r="AA30" s="76">
        <v>0</v>
      </c>
      <c r="AB30" s="76">
        <v>0</v>
      </c>
      <c r="AC30" s="76">
        <v>0</v>
      </c>
      <c r="AD30" s="78"/>
      <c r="AE30" s="76">
        <v>0</v>
      </c>
      <c r="AF30" s="76">
        <v>0</v>
      </c>
      <c r="AG30" s="76">
        <v>0</v>
      </c>
      <c r="AH30" s="78"/>
      <c r="AI30" s="76">
        <v>0</v>
      </c>
    </row>
    <row r="31" spans="1:41" ht="24" customHeight="1" x14ac:dyDescent="0.2">
      <c r="A31" s="79">
        <v>3</v>
      </c>
      <c r="B31" s="79">
        <f>SUM(B25:B30)</f>
        <v>99.999999999999986</v>
      </c>
      <c r="C31" s="80" t="s">
        <v>96</v>
      </c>
      <c r="D31" s="80"/>
      <c r="E31" s="80" t="s">
        <v>85</v>
      </c>
      <c r="F31" s="80"/>
      <c r="G31" s="79">
        <f>SUM(G25:G30)</f>
        <v>766.03794782590865</v>
      </c>
      <c r="H31" s="79"/>
      <c r="I31" s="79">
        <f t="shared" ref="I31:N31" si="12">SUM(I25:I30)</f>
        <v>0</v>
      </c>
      <c r="J31" s="79">
        <f t="shared" si="12"/>
        <v>0</v>
      </c>
      <c r="K31" s="79">
        <f t="shared" si="12"/>
        <v>153.16025736178497</v>
      </c>
      <c r="L31" s="79">
        <f t="shared" si="12"/>
        <v>132.02365272436532</v>
      </c>
      <c r="M31" s="79">
        <f t="shared" si="12"/>
        <v>20.083174953791797</v>
      </c>
      <c r="N31" s="79">
        <f t="shared" si="12"/>
        <v>174.98568738092123</v>
      </c>
      <c r="O31" s="79"/>
      <c r="P31" s="79">
        <f>SUM(P25:P30)</f>
        <v>92.912542022574797</v>
      </c>
      <c r="Q31" s="79">
        <f>SUM(Q25:Q30)</f>
        <v>1048.7505760207289</v>
      </c>
      <c r="R31" s="79">
        <f>SUM(R25:R30)</f>
        <v>126.77558334218371</v>
      </c>
      <c r="S31" s="79">
        <f>SUM(S25:S30)</f>
        <v>1175.5261593629125</v>
      </c>
      <c r="T31" s="79">
        <f>SUM(T25:T30)</f>
        <v>92.912542022574797</v>
      </c>
      <c r="U31" s="79"/>
      <c r="V31" s="79">
        <f t="shared" ref="V31:AC31" si="13">SUM(V25:V30)</f>
        <v>16.724257564063464</v>
      </c>
      <c r="W31" s="79">
        <f t="shared" si="13"/>
        <v>76.188284458511333</v>
      </c>
      <c r="X31" s="79">
        <f t="shared" si="13"/>
        <v>-5.2480693821816118</v>
      </c>
      <c r="Y31" s="79">
        <f t="shared" si="13"/>
        <v>76.188284458511333</v>
      </c>
      <c r="Z31" s="79">
        <f t="shared" si="13"/>
        <v>11.476188181881852</v>
      </c>
      <c r="AA31" s="79">
        <f t="shared" si="13"/>
        <v>261.23393319942005</v>
      </c>
      <c r="AB31" s="79">
        <f t="shared" si="13"/>
        <v>787.51664282130878</v>
      </c>
      <c r="AC31" s="79">
        <f t="shared" si="13"/>
        <v>126.77558334218371</v>
      </c>
      <c r="AD31" s="79" t="str">
        <f>IF(ABS(B31-100)&lt;=0.01,"ОК","ПОМИЛКА")</f>
        <v>ОК</v>
      </c>
      <c r="AE31" s="79">
        <f>IF($D$8=0,0,AA31/$D$8*100-100)</f>
        <v>-95.575448398520038</v>
      </c>
      <c r="AF31" s="79">
        <f>IF($D$8=0,0,AG31/$D$8*100-100)</f>
        <v>-80.089967305203388</v>
      </c>
      <c r="AG31" s="79">
        <f>SUM(AG25:AG30)</f>
        <v>1175.5261593629125</v>
      </c>
      <c r="AH31" s="79"/>
      <c r="AI31" s="79"/>
    </row>
    <row r="32" spans="1:41" ht="24" customHeight="1" x14ac:dyDescent="0.2">
      <c r="A32" s="81"/>
      <c r="B32" s="81"/>
      <c r="C32" s="81"/>
      <c r="D32" s="81"/>
      <c r="E32" s="81"/>
      <c r="F32" s="81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</row>
    <row r="33" spans="1:35" ht="24" customHeight="1" x14ac:dyDescent="0.2">
      <c r="A33" s="76">
        <v>4</v>
      </c>
      <c r="B33" s="76">
        <v>2.47067834085554E-16</v>
      </c>
      <c r="C33" s="77" t="s">
        <v>97</v>
      </c>
      <c r="D33" s="77" t="s">
        <v>79</v>
      </c>
      <c r="E33" s="77" t="s">
        <v>90</v>
      </c>
      <c r="F33" s="77" t="s">
        <v>88</v>
      </c>
      <c r="G33" s="76">
        <f>$AB$31*B33/100</f>
        <v>1.9457003124818759E-15</v>
      </c>
      <c r="H33" s="76">
        <f>$D$5</f>
        <v>20</v>
      </c>
      <c r="I33" s="76">
        <v>0</v>
      </c>
      <c r="J33" s="76">
        <v>0</v>
      </c>
      <c r="K33" s="76">
        <f>$AC$31*B33/100</f>
        <v>3.1322168791285965E-16</v>
      </c>
      <c r="L33" s="76">
        <f>I33+J33+K33</f>
        <v>3.1322168791285965E-16</v>
      </c>
      <c r="M33" s="76">
        <v>0</v>
      </c>
      <c r="N33" s="76">
        <f>G33*$D$4/100</f>
        <v>4.4753352172836955E-16</v>
      </c>
      <c r="O33" s="76">
        <f>$N$5</f>
        <v>16.524030321626402</v>
      </c>
      <c r="P33" s="76">
        <f>(G33+M33+N33)*O33/100</f>
        <v>3.9545868443232308E-16</v>
      </c>
      <c r="Q33" s="76">
        <f>G33+M33+N33+P33</f>
        <v>2.7886925186425687E-15</v>
      </c>
      <c r="R33" s="76">
        <f>Q33*H33/100</f>
        <v>5.5773850372851374E-16</v>
      </c>
      <c r="S33" s="76">
        <f>Q33+R33</f>
        <v>3.3464310223710824E-15</v>
      </c>
      <c r="T33" s="76">
        <f>P33</f>
        <v>3.9545868443232308E-16</v>
      </c>
      <c r="U33" s="76">
        <f>$D$6</f>
        <v>18</v>
      </c>
      <c r="V33" s="76">
        <f>T33*U33/100</f>
        <v>7.118256319781816E-17</v>
      </c>
      <c r="W33" s="76">
        <f>T33-V33</f>
        <v>3.2427612123450492E-16</v>
      </c>
      <c r="X33" s="76">
        <f>R33-L33</f>
        <v>2.4451681581565408E-16</v>
      </c>
      <c r="Y33" s="76">
        <f>W33</f>
        <v>3.2427612123450492E-16</v>
      </c>
      <c r="Z33" s="76">
        <f>V33+X33+I33</f>
        <v>3.1569937901347224E-16</v>
      </c>
      <c r="AA33" s="76">
        <f>IF(OR(E33="Кінцеве споживання",E33="Експорт"),S33,0)</f>
        <v>3.3464310223710824E-15</v>
      </c>
      <c r="AB33" s="76">
        <f>IF(E33="Перехід",Q33,0)</f>
        <v>0</v>
      </c>
      <c r="AC33" s="76">
        <f>IF(AND(E33="Перехід",D33="Платник ПДВ"),R33,0)</f>
        <v>0</v>
      </c>
      <c r="AD33" s="78"/>
      <c r="AE33" s="76">
        <f>IF($D$8=0,0,AA33/$D$8*100-100)</f>
        <v>-100</v>
      </c>
      <c r="AF33" s="76">
        <f>IF($D$8=0,0,AG33/$D$8*100-100)</f>
        <v>-100</v>
      </c>
      <c r="AG33" s="76">
        <f>S33</f>
        <v>3.3464310223710824E-15</v>
      </c>
      <c r="AH33" s="76" t="s">
        <v>98</v>
      </c>
      <c r="AI33" s="76">
        <f>IF($AG$41=0,0,AG33/$AG$41*100)</f>
        <v>2.5276707827852052E-17</v>
      </c>
    </row>
    <row r="34" spans="1:35" ht="24" customHeight="1" x14ac:dyDescent="0.2">
      <c r="A34" s="76">
        <v>4</v>
      </c>
      <c r="B34" s="76">
        <v>99.312585893610404</v>
      </c>
      <c r="C34" s="77" t="s">
        <v>235</v>
      </c>
      <c r="D34" s="77" t="s">
        <v>74</v>
      </c>
      <c r="E34" s="77" t="s">
        <v>90</v>
      </c>
      <c r="F34" s="77" t="s">
        <v>88</v>
      </c>
      <c r="G34" s="76">
        <f>$AB$31*B34/100</f>
        <v>782.10314232838937</v>
      </c>
      <c r="H34" s="76">
        <v>0</v>
      </c>
      <c r="I34" s="76">
        <v>0</v>
      </c>
      <c r="J34" s="76">
        <v>0</v>
      </c>
      <c r="K34" s="76">
        <f>$AC$31*B34/100</f>
        <v>125.90411009883184</v>
      </c>
      <c r="L34" s="76">
        <v>0</v>
      </c>
      <c r="M34" s="76">
        <f>I34+K34</f>
        <v>125.90411009883184</v>
      </c>
      <c r="N34" s="76">
        <f>G34*$D$4/100</f>
        <v>179.89274678924056</v>
      </c>
      <c r="O34" s="76">
        <f>$N$5</f>
        <v>16.524030321626402</v>
      </c>
      <c r="P34" s="76">
        <f>(G34+M34+N34)*O34/100</f>
        <v>179.76492573950154</v>
      </c>
      <c r="Q34" s="76">
        <f>G34+M34+N34+P34</f>
        <v>1267.6649249559632</v>
      </c>
      <c r="R34" s="76">
        <f>Q34*H34/100</f>
        <v>0</v>
      </c>
      <c r="S34" s="76">
        <f>Q34+R34</f>
        <v>1267.6649249559632</v>
      </c>
      <c r="T34" s="76">
        <f>P34</f>
        <v>179.76492573950154</v>
      </c>
      <c r="U34" s="76">
        <f>$D$6</f>
        <v>18</v>
      </c>
      <c r="V34" s="76">
        <f>T34*U34/100</f>
        <v>32.357686633110276</v>
      </c>
      <c r="W34" s="76">
        <f>T34-V34</f>
        <v>147.40723910639127</v>
      </c>
      <c r="X34" s="76">
        <f>R34-L34</f>
        <v>0</v>
      </c>
      <c r="Y34" s="76">
        <f>W34</f>
        <v>147.40723910639127</v>
      </c>
      <c r="Z34" s="76">
        <f>V34+X34+I34</f>
        <v>32.357686633110276</v>
      </c>
      <c r="AA34" s="76">
        <f>IF(OR(E34="Кінцеве споживання",E34="Експорт"),S34,0)</f>
        <v>1267.6649249559632</v>
      </c>
      <c r="AB34" s="76">
        <f>IF(E34="Перехід",Q34,0)</f>
        <v>0</v>
      </c>
      <c r="AC34" s="76">
        <f>IF(AND(E34="Перехід",D34="Платник ПДВ"),R34,0)</f>
        <v>0</v>
      </c>
      <c r="AD34" s="78"/>
      <c r="AE34" s="76">
        <f>IF($D$8=0,0,AA34/$D$8*100-100)</f>
        <v>-78.529401578269614</v>
      </c>
      <c r="AF34" s="76">
        <f>IF($D$8=0,0,AG34/$D$8*100-100)</f>
        <v>-78.529401578269614</v>
      </c>
      <c r="AG34" s="76">
        <f>S34</f>
        <v>1267.6649249559632</v>
      </c>
      <c r="AH34" s="76" t="s">
        <v>98</v>
      </c>
      <c r="AI34" s="76">
        <f>IF($AG$41=0,0,AG34/$AG$41*100)</f>
        <v>9.5750952933207465</v>
      </c>
    </row>
    <row r="35" spans="1:35" ht="24" customHeight="1" x14ac:dyDescent="0.2">
      <c r="A35" s="76">
        <v>4</v>
      </c>
      <c r="B35" s="76">
        <v>6.9987229142759495E-17</v>
      </c>
      <c r="C35" s="77" t="s">
        <v>236</v>
      </c>
      <c r="D35" s="77" t="s">
        <v>79</v>
      </c>
      <c r="E35" s="77" t="s">
        <v>237</v>
      </c>
      <c r="F35" s="77" t="s">
        <v>88</v>
      </c>
      <c r="G35" s="76">
        <f>$AB$31*B35/100</f>
        <v>5.5116107734871617E-16</v>
      </c>
      <c r="H35" s="76">
        <f>$D$5</f>
        <v>20</v>
      </c>
      <c r="I35" s="76">
        <v>0</v>
      </c>
      <c r="J35" s="76">
        <v>0</v>
      </c>
      <c r="K35" s="76">
        <f>$AC$31*B35/100</f>
        <v>8.8726718010764141E-17</v>
      </c>
      <c r="L35" s="76">
        <f>I35+J35+K35</f>
        <v>8.8726718010764141E-17</v>
      </c>
      <c r="M35" s="76">
        <v>0</v>
      </c>
      <c r="N35" s="76">
        <f>G35*$D$4/100</f>
        <v>1.2677340719076997E-16</v>
      </c>
      <c r="O35" s="76">
        <f>$I$8</f>
        <v>6.9654082687254597</v>
      </c>
      <c r="P35" s="76">
        <f>(G35+M35+N35)*O35/100</f>
        <v>4.7220904642654691E-17</v>
      </c>
      <c r="Q35" s="76">
        <f>G35+M35+N35+P35</f>
        <v>7.2515538918214084E-16</v>
      </c>
      <c r="R35" s="76">
        <f>Q35*H35/100</f>
        <v>1.4503107783642819E-16</v>
      </c>
      <c r="S35" s="76">
        <f>Q35+R35</f>
        <v>8.7018646701856903E-16</v>
      </c>
      <c r="T35" s="76">
        <f>P35</f>
        <v>4.7220904642654691E-17</v>
      </c>
      <c r="U35" s="76">
        <f>$D$6</f>
        <v>18</v>
      </c>
      <c r="V35" s="76">
        <f>T35*U35/100</f>
        <v>8.4997628356778448E-18</v>
      </c>
      <c r="W35" s="76">
        <f>T35-V35</f>
        <v>3.8721141806976846E-17</v>
      </c>
      <c r="X35" s="76">
        <f>R35-L35</f>
        <v>5.6304359825664047E-17</v>
      </c>
      <c r="Y35" s="76">
        <f>W35</f>
        <v>3.8721141806976846E-17</v>
      </c>
      <c r="Z35" s="76">
        <f>V35+X35+I35</f>
        <v>6.4804122661341885E-17</v>
      </c>
      <c r="AA35" s="76">
        <f>IF(OR(E35="Кінцеве споживання",E35="Експорт"),S35,0)</f>
        <v>0</v>
      </c>
      <c r="AB35" s="76">
        <f>IF(E35="Перехід",Q35,0)</f>
        <v>0</v>
      </c>
      <c r="AC35" s="76">
        <f>IF(AND(E35="Перехід",D35="Платник ПДВ"),R35,0)</f>
        <v>0</v>
      </c>
      <c r="AD35" s="78"/>
      <c r="AE35" s="76">
        <f>IF($D$8=0,0,AA35/$D$8*100-100)</f>
        <v>-100</v>
      </c>
      <c r="AF35" s="76">
        <f>IF($D$8=0,0,AG35/$D$8*100-100)</f>
        <v>-100</v>
      </c>
      <c r="AG35" s="76">
        <f>S35</f>
        <v>8.7018646701856903E-16</v>
      </c>
      <c r="AH35" s="76" t="s">
        <v>94</v>
      </c>
      <c r="AI35" s="76">
        <f>IF($AG$41=0,0,AG35/$AG$41*100)</f>
        <v>6.5728081456149418E-18</v>
      </c>
    </row>
    <row r="36" spans="1:35" ht="24" customHeight="1" x14ac:dyDescent="0.2">
      <c r="A36" s="76">
        <v>4</v>
      </c>
      <c r="B36" s="76">
        <v>1.7765988936237301E-16</v>
      </c>
      <c r="C36" s="77" t="s">
        <v>238</v>
      </c>
      <c r="D36" s="77" t="s">
        <v>74</v>
      </c>
      <c r="E36" s="77" t="s">
        <v>237</v>
      </c>
      <c r="F36" s="77" t="s">
        <v>88</v>
      </c>
      <c r="G36" s="76">
        <f>$AB$31*B36/100</f>
        <v>1.3991011963466114E-15</v>
      </c>
      <c r="H36" s="76">
        <v>0</v>
      </c>
      <c r="I36" s="76">
        <v>0</v>
      </c>
      <c r="J36" s="76">
        <v>0</v>
      </c>
      <c r="K36" s="76">
        <f>$AC$31*B36/100</f>
        <v>2.2522936110422657E-16</v>
      </c>
      <c r="L36" s="76">
        <v>0</v>
      </c>
      <c r="M36" s="76">
        <f>I36+K36</f>
        <v>2.2522936110422657E-16</v>
      </c>
      <c r="N36" s="76">
        <f>G36*$D$4/100</f>
        <v>3.2180941825346319E-16</v>
      </c>
      <c r="O36" s="76">
        <f>$I$8</f>
        <v>6.9654082687254597</v>
      </c>
      <c r="P36" s="76">
        <f>(G36+M36+N36)*O36/100</f>
        <v>1.3555659478867905E-16</v>
      </c>
      <c r="Q36" s="76">
        <f>G36+M36+N36+P36</f>
        <v>2.0816965704929802E-15</v>
      </c>
      <c r="R36" s="76">
        <f>Q36*H36/100</f>
        <v>0</v>
      </c>
      <c r="S36" s="76">
        <f>Q36+R36</f>
        <v>2.0816965704929802E-15</v>
      </c>
      <c r="T36" s="76">
        <f>P36</f>
        <v>1.3555659478867905E-16</v>
      </c>
      <c r="U36" s="76">
        <f>$D$6</f>
        <v>18</v>
      </c>
      <c r="V36" s="76">
        <f>T36*U36/100</f>
        <v>2.4400187061962231E-17</v>
      </c>
      <c r="W36" s="76">
        <f>T36-V36</f>
        <v>1.1115640772671682E-16</v>
      </c>
      <c r="X36" s="76">
        <f>R36-L36</f>
        <v>0</v>
      </c>
      <c r="Y36" s="76">
        <f>W36</f>
        <v>1.1115640772671682E-16</v>
      </c>
      <c r="Z36" s="76">
        <f>V36+X36+I36</f>
        <v>2.4400187061962231E-17</v>
      </c>
      <c r="AA36" s="76">
        <f>IF(OR(E36="Кінцеве споживання",E36="Експорт"),S36,0)</f>
        <v>0</v>
      </c>
      <c r="AB36" s="76">
        <f>IF(E36="Перехід",Q36,0)</f>
        <v>0</v>
      </c>
      <c r="AC36" s="76">
        <f>IF(AND(E36="Перехід",D36="Платник ПДВ"),R36,0)</f>
        <v>0</v>
      </c>
      <c r="AD36" s="78"/>
      <c r="AE36" s="76">
        <f>IF($D$8=0,0,AA36/$D$8*100-100)</f>
        <v>-100</v>
      </c>
      <c r="AF36" s="76">
        <f>IF($D$8=0,0,AG36/$D$8*100-100)</f>
        <v>-100</v>
      </c>
      <c r="AG36" s="76">
        <f>S36</f>
        <v>2.0816965704929802E-15</v>
      </c>
      <c r="AH36" s="76" t="s">
        <v>92</v>
      </c>
      <c r="AI36" s="76">
        <f>IF($AG$41=0,0,AG36/$AG$41*100)</f>
        <v>1.5723747373495954E-17</v>
      </c>
    </row>
    <row r="37" spans="1:35" ht="24" customHeight="1" x14ac:dyDescent="0.2">
      <c r="A37" s="76">
        <v>4</v>
      </c>
      <c r="B37" s="76">
        <v>0.68741410638960598</v>
      </c>
      <c r="C37" s="77" t="s">
        <v>232</v>
      </c>
      <c r="D37" s="81"/>
      <c r="E37" s="77" t="s">
        <v>233</v>
      </c>
      <c r="F37" s="77" t="s">
        <v>234</v>
      </c>
      <c r="G37" s="76">
        <f>$AB$31*B37/100</f>
        <v>5.4135004929195247</v>
      </c>
      <c r="H37" s="76">
        <v>0</v>
      </c>
      <c r="I37" s="76">
        <v>0</v>
      </c>
      <c r="J37" s="76">
        <v>0</v>
      </c>
      <c r="K37" s="76">
        <f>$AC$31*B37/100</f>
        <v>0.87147324335188225</v>
      </c>
      <c r="L37" s="76">
        <v>0</v>
      </c>
      <c r="M37" s="76">
        <v>0</v>
      </c>
      <c r="N37" s="76">
        <v>0</v>
      </c>
      <c r="O37" s="76">
        <v>0</v>
      </c>
      <c r="P37" s="76">
        <v>0</v>
      </c>
      <c r="Q37" s="76">
        <v>0</v>
      </c>
      <c r="R37" s="76">
        <v>0</v>
      </c>
      <c r="S37" s="76">
        <v>0</v>
      </c>
      <c r="T37" s="76">
        <v>0</v>
      </c>
      <c r="U37" s="76">
        <v>0</v>
      </c>
      <c r="V37" s="76">
        <v>0</v>
      </c>
      <c r="W37" s="76">
        <v>0</v>
      </c>
      <c r="X37" s="76">
        <v>0</v>
      </c>
      <c r="Y37" s="76">
        <v>0</v>
      </c>
      <c r="Z37" s="76">
        <v>0</v>
      </c>
      <c r="AA37" s="76">
        <v>0</v>
      </c>
      <c r="AB37" s="76">
        <v>0</v>
      </c>
      <c r="AC37" s="76">
        <v>0</v>
      </c>
      <c r="AD37" s="78"/>
      <c r="AE37" s="76">
        <v>0</v>
      </c>
      <c r="AF37" s="76">
        <v>0</v>
      </c>
      <c r="AG37" s="76">
        <v>0</v>
      </c>
      <c r="AH37" s="78"/>
      <c r="AI37" s="76">
        <v>0</v>
      </c>
    </row>
    <row r="38" spans="1:35" ht="24" customHeight="1" x14ac:dyDescent="0.2">
      <c r="A38" s="79">
        <v>4</v>
      </c>
      <c r="B38" s="79">
        <f>SUM(B33:B37)</f>
        <v>100.00000000000001</v>
      </c>
      <c r="C38" s="80" t="s">
        <v>99</v>
      </c>
      <c r="D38" s="80"/>
      <c r="E38" s="80" t="s">
        <v>85</v>
      </c>
      <c r="F38" s="80"/>
      <c r="G38" s="79">
        <f>SUM(G33:G37)</f>
        <v>787.51664282130889</v>
      </c>
      <c r="H38" s="79"/>
      <c r="I38" s="79">
        <f t="shared" ref="I38:N38" si="14">SUM(I33:I37)</f>
        <v>0</v>
      </c>
      <c r="J38" s="79">
        <f t="shared" si="14"/>
        <v>0</v>
      </c>
      <c r="K38" s="79">
        <f t="shared" si="14"/>
        <v>126.77558334218372</v>
      </c>
      <c r="L38" s="79">
        <f t="shared" si="14"/>
        <v>4.0194840592362378E-16</v>
      </c>
      <c r="M38" s="79">
        <f t="shared" si="14"/>
        <v>125.90411009883184</v>
      </c>
      <c r="N38" s="79">
        <f t="shared" si="14"/>
        <v>179.89274678924056</v>
      </c>
      <c r="O38" s="79"/>
      <c r="P38" s="79">
        <f>SUM(P33:P37)</f>
        <v>179.76492573950154</v>
      </c>
      <c r="Q38" s="79">
        <f>SUM(Q33:Q37)</f>
        <v>1267.6649249559632</v>
      </c>
      <c r="R38" s="79">
        <f>SUM(R33:R37)</f>
        <v>7.0276958156494192E-16</v>
      </c>
      <c r="S38" s="79">
        <f>SUM(S33:S37)</f>
        <v>1267.6649249559632</v>
      </c>
      <c r="T38" s="79">
        <f>SUM(T33:T37)</f>
        <v>179.76492573950154</v>
      </c>
      <c r="U38" s="79"/>
      <c r="V38" s="79">
        <f t="shared" ref="V38:AC38" si="15">SUM(V33:V37)</f>
        <v>32.357686633110276</v>
      </c>
      <c r="W38" s="79">
        <f t="shared" si="15"/>
        <v>147.40723910639127</v>
      </c>
      <c r="X38" s="79">
        <f t="shared" si="15"/>
        <v>3.0082117564131814E-16</v>
      </c>
      <c r="Y38" s="79">
        <f t="shared" si="15"/>
        <v>147.40723910639127</v>
      </c>
      <c r="Z38" s="79">
        <f t="shared" si="15"/>
        <v>32.357686633110276</v>
      </c>
      <c r="AA38" s="79">
        <f t="shared" si="15"/>
        <v>1267.6649249559632</v>
      </c>
      <c r="AB38" s="79">
        <f t="shared" si="15"/>
        <v>0</v>
      </c>
      <c r="AC38" s="79">
        <f t="shared" si="15"/>
        <v>0</v>
      </c>
      <c r="AD38" s="79" t="str">
        <f>IF(ABS(B38-100)&lt;=0.01,"ОК","ПОМИЛКА")</f>
        <v>ОК</v>
      </c>
      <c r="AE38" s="79">
        <f>IF($D$8=0,0,AA38/$D$8*100-100)</f>
        <v>-78.529401578269614</v>
      </c>
      <c r="AF38" s="79">
        <f>IF($D$8=0,0,AG38/$D$8*100-100)</f>
        <v>-78.529401578269614</v>
      </c>
      <c r="AG38" s="79">
        <f>SUM(AG33:AG37)</f>
        <v>1267.6649249559632</v>
      </c>
      <c r="AH38" s="79"/>
      <c r="AI38" s="79"/>
    </row>
    <row r="39" spans="1:35" ht="24" customHeight="1" x14ac:dyDescent="0.2">
      <c r="A39" s="81"/>
      <c r="B39" s="81"/>
      <c r="C39" s="81"/>
      <c r="D39" s="81"/>
      <c r="E39" s="81"/>
      <c r="F39" s="81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</row>
    <row r="40" spans="1:35" ht="24" customHeight="1" x14ac:dyDescent="0.2">
      <c r="A40" s="81"/>
      <c r="B40" s="81"/>
      <c r="C40" s="81"/>
      <c r="D40" s="81"/>
      <c r="E40" s="81"/>
      <c r="F40" s="81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</row>
    <row r="41" spans="1:35" ht="24" customHeight="1" x14ac:dyDescent="0.2">
      <c r="A41" s="80"/>
      <c r="B41" s="79">
        <f>SUM(B15,B23,B31,B38)</f>
        <v>400.00000000000006</v>
      </c>
      <c r="C41" s="80" t="s">
        <v>103</v>
      </c>
      <c r="D41" s="80"/>
      <c r="E41" s="80"/>
      <c r="F41" s="80"/>
      <c r="G41" s="79">
        <f>SUM(G12:G14,G17:G22,G25:G30,G33:G37)</f>
        <v>14961.463496920034</v>
      </c>
      <c r="H41" s="79"/>
      <c r="I41" s="79">
        <f t="shared" ref="I41:N41" si="16">SUM(I12:I14,I17:I22,I25:I30,I33:I37)</f>
        <v>315.45999999999998</v>
      </c>
      <c r="J41" s="79">
        <f t="shared" si="16"/>
        <v>865.37800000000004</v>
      </c>
      <c r="K41" s="79">
        <f t="shared" si="16"/>
        <v>1658.9774929139821</v>
      </c>
      <c r="L41" s="79">
        <f t="shared" si="16"/>
        <v>1465.8232580719809</v>
      </c>
      <c r="M41" s="79">
        <f t="shared" si="16"/>
        <v>224.88104568870915</v>
      </c>
      <c r="N41" s="79">
        <f t="shared" si="16"/>
        <v>2003.0892358809378</v>
      </c>
      <c r="O41" s="79"/>
      <c r="P41" s="79">
        <f>SUM(P12:P14,P17:P22,P25:P30,P33:P37)</f>
        <v>643.55555555543685</v>
      </c>
      <c r="Q41" s="79">
        <f>SUM(Q12:Q14,Q17:Q22,Q25:Q30,Q33:Q37)</f>
        <v>11580.172593083977</v>
      </c>
      <c r="R41" s="79">
        <f>SUM(R12:R14,R17:R22,R25:R30,R33:R37)</f>
        <v>1659.0160115479052</v>
      </c>
      <c r="S41" s="79">
        <f>SUM(S12:S14,S17:S22,S25:S30,S33:S37)</f>
        <v>13239.188604631876</v>
      </c>
      <c r="T41" s="79">
        <f>SUM(T12:T14,T17:T22,T25:T30,T33:T37)</f>
        <v>643.55555555543685</v>
      </c>
      <c r="U41" s="79"/>
      <c r="V41" s="79">
        <f t="shared" ref="V41:AC41" si="17">SUM(V12:V14,V17:V22,V25:V30,V33:V37)</f>
        <v>115.83999999997864</v>
      </c>
      <c r="W41" s="79">
        <f t="shared" si="17"/>
        <v>527.7155555554582</v>
      </c>
      <c r="X41" s="79">
        <f t="shared" si="17"/>
        <v>193.19275347592446</v>
      </c>
      <c r="Y41" s="79">
        <f t="shared" si="17"/>
        <v>527.7155555554582</v>
      </c>
      <c r="Z41" s="79">
        <f t="shared" si="17"/>
        <v>624.49275347590299</v>
      </c>
      <c r="AA41" s="79">
        <f t="shared" si="17"/>
        <v>2522.9376147978692</v>
      </c>
      <c r="AB41" s="79">
        <f t="shared" si="17"/>
        <v>9057.2734969200283</v>
      </c>
      <c r="AC41" s="79">
        <f t="shared" si="17"/>
        <v>1658.9774929139812</v>
      </c>
      <c r="AD41" s="79" t="str">
        <f>IF(AND(ABS(AG41-$D$7)&lt;=1,ABS(N41-$D$9)&lt;=1,ABS(V41-$I$6)&lt;=1),"ОК","Перевірити")</f>
        <v>ОК</v>
      </c>
      <c r="AE41" s="79">
        <f>IF($D$8=0,0,AA41/$D$8*100-100)</f>
        <v>-57.26869198318704</v>
      </c>
      <c r="AF41" s="79">
        <f>IF($D$8=0,0,AG41/$D$8*100-100)</f>
        <v>124.23378320534866</v>
      </c>
      <c r="AG41" s="79">
        <f>SUM(AG12:AG14,AG17:AG22,AG25:AG30,AG33:AG37)</f>
        <v>13239.188604631876</v>
      </c>
      <c r="AH41" s="79"/>
      <c r="AI41" s="79">
        <f>100</f>
        <v>100</v>
      </c>
    </row>
    <row r="43" spans="1:35" ht="48" customHeight="1" x14ac:dyDescent="0.2">
      <c r="A43" s="151" t="s">
        <v>239</v>
      </c>
      <c r="B43" s="151"/>
      <c r="C43" s="151"/>
      <c r="D43" s="151"/>
      <c r="E43" s="151"/>
      <c r="F43" s="151"/>
      <c r="G43" s="151"/>
      <c r="H43" s="151"/>
      <c r="I43" s="151"/>
      <c r="J43" s="151"/>
      <c r="K43" s="151"/>
      <c r="L43" s="151"/>
      <c r="M43" s="151"/>
      <c r="N43" s="151"/>
      <c r="O43" s="151"/>
      <c r="P43" s="151"/>
      <c r="Q43" s="151"/>
      <c r="R43" s="151"/>
      <c r="S43" s="151"/>
      <c r="T43" s="151"/>
      <c r="U43" s="151"/>
      <c r="V43" s="151"/>
      <c r="W43" s="151"/>
      <c r="X43" s="151"/>
      <c r="Y43" s="151"/>
      <c r="Z43" s="151"/>
      <c r="AA43" s="151"/>
      <c r="AB43" s="151"/>
      <c r="AC43" s="151"/>
      <c r="AD43" s="151"/>
      <c r="AE43" s="151"/>
      <c r="AF43" s="151"/>
      <c r="AG43" s="151"/>
      <c r="AH43" s="151"/>
      <c r="AI43" s="151"/>
    </row>
  </sheetData>
  <sheetProtection algorithmName="SHA-512" hashValue="oqY/UF/G8Itkzcrounhu/AUJTeoRuOVrMDeyj8+d/W02jF8bfcps81dI78GUj2ejLcGqNIp8/OTlAi+oTEhZ+g==" saltValue="dq5Quu+oUyCpkegrbi/Y5w==" spinCount="100000" sheet="1" objects="1" scenarios="1"/>
  <mergeCells count="66">
    <mergeCell ref="A43:AI43"/>
    <mergeCell ref="O8:P8"/>
    <mergeCell ref="Q8:R8"/>
    <mergeCell ref="U8:V8"/>
    <mergeCell ref="X8:Y8"/>
    <mergeCell ref="A9:C9"/>
    <mergeCell ref="E9:F9"/>
    <mergeCell ref="G9:H9"/>
    <mergeCell ref="J9:K9"/>
    <mergeCell ref="L9:M9"/>
    <mergeCell ref="O9:P9"/>
    <mergeCell ref="Q9:R9"/>
    <mergeCell ref="U9:V9"/>
    <mergeCell ref="X9:Y9"/>
    <mergeCell ref="A8:C8"/>
    <mergeCell ref="E8:F8"/>
    <mergeCell ref="G8:H8"/>
    <mergeCell ref="J8:K8"/>
    <mergeCell ref="L8:M8"/>
    <mergeCell ref="O6:P6"/>
    <mergeCell ref="Q6:R6"/>
    <mergeCell ref="U6:V6"/>
    <mergeCell ref="X6:Y6"/>
    <mergeCell ref="A7:C7"/>
    <mergeCell ref="E7:F7"/>
    <mergeCell ref="G7:H7"/>
    <mergeCell ref="J7:K7"/>
    <mergeCell ref="L7:M7"/>
    <mergeCell ref="O7:P7"/>
    <mergeCell ref="Q7:R7"/>
    <mergeCell ref="U7:V7"/>
    <mergeCell ref="X7:Y7"/>
    <mergeCell ref="A6:C6"/>
    <mergeCell ref="E6:F6"/>
    <mergeCell ref="G6:H6"/>
    <mergeCell ref="J6:K6"/>
    <mergeCell ref="L6:M6"/>
    <mergeCell ref="O5:P5"/>
    <mergeCell ref="Q5:R5"/>
    <mergeCell ref="U5:V5"/>
    <mergeCell ref="X5:Y5"/>
    <mergeCell ref="A4:C4"/>
    <mergeCell ref="E4:F4"/>
    <mergeCell ref="G4:H4"/>
    <mergeCell ref="J4:K4"/>
    <mergeCell ref="L4:M4"/>
    <mergeCell ref="O4:P4"/>
    <mergeCell ref="A5:C5"/>
    <mergeCell ref="E5:F5"/>
    <mergeCell ref="G5:H5"/>
    <mergeCell ref="J5:K5"/>
    <mergeCell ref="L5:M5"/>
    <mergeCell ref="Q4:R4"/>
    <mergeCell ref="U4:V4"/>
    <mergeCell ref="A1:AI1"/>
    <mergeCell ref="A2:AI2"/>
    <mergeCell ref="A3:C3"/>
    <mergeCell ref="E3:F3"/>
    <mergeCell ref="G3:H3"/>
    <mergeCell ref="J3:K3"/>
    <mergeCell ref="L3:M3"/>
    <mergeCell ref="O3:P3"/>
    <mergeCell ref="Q3:R3"/>
    <mergeCell ref="U3:V3"/>
    <mergeCell ref="X3:Y3"/>
    <mergeCell ref="X4:Y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O64"/>
  <sheetViews>
    <sheetView workbookViewId="0">
      <pane ySplit="10" topLeftCell="A11" activePane="bottomLeft" state="frozen"/>
      <selection pane="bottomLeft" activeCell="E12" sqref="E12"/>
    </sheetView>
  </sheetViews>
  <sheetFormatPr defaultColWidth="8.7109375" defaultRowHeight="15" x14ac:dyDescent="0.25"/>
  <cols>
    <col min="1" max="1" width="8" style="2" customWidth="1"/>
    <col min="2" max="2" width="12" style="2" customWidth="1"/>
    <col min="3" max="3" width="29" style="2" customWidth="1"/>
    <col min="4" max="4" width="13" style="2" customWidth="1"/>
    <col min="5" max="5" width="24" style="2" customWidth="1"/>
    <col min="6" max="6" width="20" style="2" customWidth="1"/>
    <col min="7" max="7" width="18" style="2" customWidth="1"/>
    <col min="8" max="9" width="14" style="2" customWidth="1"/>
    <col min="10" max="10" width="13" style="2" customWidth="1"/>
    <col min="11" max="12" width="28" style="2" customWidth="1"/>
    <col min="13" max="15" width="13" style="2" customWidth="1"/>
    <col min="16" max="18" width="14" style="2" customWidth="1"/>
    <col min="19" max="27" width="22" style="2" customWidth="1"/>
    <col min="28" max="28" width="13" style="2" customWidth="1"/>
    <col min="29" max="29" width="16" style="2" customWidth="1"/>
    <col min="30" max="30" width="13" style="2" customWidth="1"/>
    <col min="31" max="31" width="22" style="2" customWidth="1"/>
    <col min="32" max="32" width="20" style="2" customWidth="1"/>
    <col min="33" max="36" width="14" style="2" customWidth="1"/>
    <col min="37" max="37" width="10" style="2" customWidth="1"/>
    <col min="38" max="38" width="13" customWidth="1"/>
    <col min="39" max="39" width="12" customWidth="1"/>
    <col min="40" max="40" width="14" customWidth="1"/>
    <col min="41" max="41" width="12" customWidth="1"/>
  </cols>
  <sheetData>
    <row r="1" spans="1:41" ht="18" customHeight="1" x14ac:dyDescent="0.25">
      <c r="A1" s="144" t="s">
        <v>240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</row>
    <row r="2" spans="1:41" ht="24" customHeight="1" x14ac:dyDescent="0.25">
      <c r="A2" s="145" t="s">
        <v>241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  <c r="AH2" s="145"/>
      <c r="AI2" s="145"/>
    </row>
    <row r="3" spans="1:41" ht="19.5" customHeight="1" x14ac:dyDescent="0.25">
      <c r="A3" s="146" t="s">
        <v>2</v>
      </c>
      <c r="B3" s="146"/>
      <c r="C3" s="146"/>
      <c r="D3" s="1" t="s">
        <v>3</v>
      </c>
      <c r="E3" s="147" t="s">
        <v>4</v>
      </c>
      <c r="F3" s="147"/>
      <c r="G3" s="146" t="s">
        <v>2</v>
      </c>
      <c r="H3" s="146"/>
      <c r="I3" s="1" t="s">
        <v>3</v>
      </c>
      <c r="J3" s="147" t="s">
        <v>4</v>
      </c>
      <c r="K3" s="147"/>
      <c r="L3" s="146" t="s">
        <v>2</v>
      </c>
      <c r="M3" s="146"/>
      <c r="N3" s="1" t="s">
        <v>3</v>
      </c>
      <c r="O3" s="147" t="s">
        <v>4</v>
      </c>
      <c r="P3" s="147"/>
      <c r="Q3" s="146" t="s">
        <v>2</v>
      </c>
      <c r="R3" s="146"/>
      <c r="S3" s="1" t="s">
        <v>3</v>
      </c>
      <c r="T3" s="64" t="s">
        <v>4</v>
      </c>
      <c r="U3" s="146" t="s">
        <v>2</v>
      </c>
      <c r="V3" s="146"/>
      <c r="W3" s="1" t="s">
        <v>3</v>
      </c>
      <c r="X3" s="147" t="s">
        <v>4</v>
      </c>
      <c r="Y3" s="147"/>
      <c r="Z3" s="65"/>
      <c r="AA3" s="65"/>
      <c r="AB3" s="65"/>
    </row>
    <row r="4" spans="1:41" ht="33.75" customHeight="1" x14ac:dyDescent="0.25">
      <c r="A4" s="150" t="s">
        <v>5</v>
      </c>
      <c r="B4" s="150"/>
      <c r="C4" s="150"/>
      <c r="D4" s="66">
        <v>22.656179749411201</v>
      </c>
      <c r="E4" s="149" t="s">
        <v>175</v>
      </c>
      <c r="F4" s="149"/>
      <c r="G4" s="150" t="s">
        <v>34</v>
      </c>
      <c r="H4" s="150"/>
      <c r="I4" s="66">
        <v>1577.3</v>
      </c>
      <c r="J4" s="149" t="s">
        <v>242</v>
      </c>
      <c r="K4" s="149"/>
      <c r="L4" s="150" t="s">
        <v>118</v>
      </c>
      <c r="M4" s="150"/>
      <c r="N4" s="66">
        <v>75</v>
      </c>
      <c r="O4" s="149" t="s">
        <v>119</v>
      </c>
      <c r="P4" s="149"/>
      <c r="Q4" s="143" t="s">
        <v>9</v>
      </c>
      <c r="R4" s="143"/>
      <c r="S4" s="66">
        <f>'Модель 3-1'!I9</f>
        <v>5.3903147418599501E-2</v>
      </c>
      <c r="T4" s="67" t="s">
        <v>243</v>
      </c>
      <c r="U4" s="143" t="s">
        <v>178</v>
      </c>
      <c r="V4" s="143"/>
      <c r="W4" s="66">
        <f>AC41</f>
        <v>11932.297040363144</v>
      </c>
      <c r="X4" s="148" t="s">
        <v>131</v>
      </c>
      <c r="Y4" s="148"/>
      <c r="Z4" s="68"/>
      <c r="AA4" s="68"/>
      <c r="AB4" s="68"/>
    </row>
    <row r="5" spans="1:41" ht="33.75" customHeight="1" x14ac:dyDescent="0.25">
      <c r="A5" s="150" t="s">
        <v>108</v>
      </c>
      <c r="B5" s="150"/>
      <c r="C5" s="150"/>
      <c r="D5" s="66">
        <v>25</v>
      </c>
      <c r="E5" s="149" t="s">
        <v>109</v>
      </c>
      <c r="F5" s="149"/>
      <c r="G5" s="150" t="s">
        <v>183</v>
      </c>
      <c r="H5" s="150"/>
      <c r="I5" s="66">
        <v>4326.8900000000003</v>
      </c>
      <c r="J5" s="149" t="s">
        <v>242</v>
      </c>
      <c r="K5" s="149"/>
      <c r="L5" s="150" t="s">
        <v>124</v>
      </c>
      <c r="M5" s="150"/>
      <c r="N5" s="66">
        <v>25</v>
      </c>
      <c r="O5" s="149" t="s">
        <v>119</v>
      </c>
      <c r="P5" s="149"/>
      <c r="Q5" s="143" t="s">
        <v>17</v>
      </c>
      <c r="R5" s="143"/>
      <c r="S5" s="66">
        <f>'Модель 3-1'!N4</f>
        <v>18.957276244997399</v>
      </c>
      <c r="T5" s="67" t="s">
        <v>243</v>
      </c>
      <c r="U5" s="143" t="s">
        <v>244</v>
      </c>
      <c r="V5" s="143"/>
      <c r="W5" s="66">
        <f>IF(AC41=0,0,W41/AC41*100)</f>
        <v>3.7300255134714169</v>
      </c>
      <c r="X5" s="148" t="s">
        <v>245</v>
      </c>
      <c r="Y5" s="148"/>
      <c r="Z5" s="68"/>
      <c r="AA5" s="68"/>
      <c r="AB5" s="68"/>
    </row>
    <row r="6" spans="1:41" ht="33.75" customHeight="1" x14ac:dyDescent="0.25">
      <c r="A6" s="150" t="s">
        <v>115</v>
      </c>
      <c r="B6" s="150"/>
      <c r="C6" s="150"/>
      <c r="D6" s="66">
        <v>0</v>
      </c>
      <c r="E6" s="149" t="s">
        <v>109</v>
      </c>
      <c r="F6" s="149"/>
      <c r="G6" s="150" t="s">
        <v>15</v>
      </c>
      <c r="H6" s="150"/>
      <c r="I6" s="66">
        <f>I4+I5</f>
        <v>5904.1900000000005</v>
      </c>
      <c r="J6" s="149" t="s">
        <v>206</v>
      </c>
      <c r="K6" s="149"/>
      <c r="L6" s="150" t="s">
        <v>110</v>
      </c>
      <c r="M6" s="150"/>
      <c r="N6" s="66">
        <v>1.5</v>
      </c>
      <c r="O6" s="149" t="s">
        <v>109</v>
      </c>
      <c r="P6" s="149"/>
      <c r="Q6" s="143" t="s">
        <v>171</v>
      </c>
      <c r="R6" s="143"/>
      <c r="S6" s="66">
        <f>'Модель 3-1'!N5</f>
        <v>16.524030321626402</v>
      </c>
      <c r="T6" s="67" t="s">
        <v>243</v>
      </c>
      <c r="U6" s="143" t="s">
        <v>193</v>
      </c>
      <c r="V6" s="143"/>
      <c r="W6" s="66">
        <f>W41</f>
        <v>445.07772394874002</v>
      </c>
      <c r="X6" s="148" t="s">
        <v>246</v>
      </c>
      <c r="Y6" s="148"/>
      <c r="Z6" s="68"/>
      <c r="AA6" s="68"/>
      <c r="AB6" s="68"/>
    </row>
    <row r="7" spans="1:41" ht="33.75" customHeight="1" x14ac:dyDescent="0.25">
      <c r="A7" s="150" t="s">
        <v>120</v>
      </c>
      <c r="B7" s="150"/>
      <c r="C7" s="150"/>
      <c r="D7" s="66">
        <v>3.5</v>
      </c>
      <c r="E7" s="149" t="s">
        <v>109</v>
      </c>
      <c r="F7" s="149"/>
      <c r="G7" s="150" t="s">
        <v>107</v>
      </c>
      <c r="H7" s="150"/>
      <c r="I7" s="66">
        <v>25</v>
      </c>
      <c r="J7" s="149" t="s">
        <v>22</v>
      </c>
      <c r="K7" s="149"/>
      <c r="L7" s="150" t="s">
        <v>116</v>
      </c>
      <c r="M7" s="150"/>
      <c r="N7" s="70">
        <v>4</v>
      </c>
      <c r="O7" s="149" t="s">
        <v>109</v>
      </c>
      <c r="P7" s="149"/>
      <c r="Q7" s="143" t="s">
        <v>28</v>
      </c>
      <c r="R7" s="143"/>
      <c r="S7" s="66">
        <f>'Модель 3-1'!I7</f>
        <v>7.9131392354088597</v>
      </c>
      <c r="T7" s="67" t="s">
        <v>243</v>
      </c>
      <c r="U7" s="143" t="s">
        <v>187</v>
      </c>
      <c r="V7" s="143"/>
      <c r="W7" s="66">
        <f>X41</f>
        <v>2567.0414506304751</v>
      </c>
      <c r="X7" s="148" t="s">
        <v>131</v>
      </c>
      <c r="Y7" s="148"/>
      <c r="Z7" s="68"/>
      <c r="AA7" s="68"/>
      <c r="AB7" s="68"/>
    </row>
    <row r="8" spans="1:41" ht="33.75" customHeight="1" x14ac:dyDescent="0.25">
      <c r="A8" s="150" t="s">
        <v>125</v>
      </c>
      <c r="B8" s="150"/>
      <c r="C8" s="150"/>
      <c r="D8" s="66">
        <v>2.5</v>
      </c>
      <c r="E8" s="149" t="s">
        <v>109</v>
      </c>
      <c r="F8" s="149"/>
      <c r="G8" s="150" t="s">
        <v>114</v>
      </c>
      <c r="H8" s="150"/>
      <c r="I8" s="66">
        <v>75</v>
      </c>
      <c r="J8" s="149" t="s">
        <v>22</v>
      </c>
      <c r="K8" s="149"/>
      <c r="L8" s="150"/>
      <c r="M8" s="150"/>
      <c r="N8" s="70"/>
      <c r="O8" s="149"/>
      <c r="P8" s="149"/>
      <c r="Q8" s="143" t="s">
        <v>36</v>
      </c>
      <c r="R8" s="143"/>
      <c r="S8" s="66">
        <f>'Модель 3-1'!I8</f>
        <v>6.9654082687254597</v>
      </c>
      <c r="T8" s="67" t="s">
        <v>243</v>
      </c>
      <c r="U8" s="143" t="s">
        <v>212</v>
      </c>
      <c r="V8" s="143"/>
      <c r="W8" s="66">
        <f>V41</f>
        <v>642.88121141205636</v>
      </c>
      <c r="X8" s="148" t="s">
        <v>131</v>
      </c>
      <c r="Y8" s="148"/>
      <c r="Z8" s="68"/>
      <c r="AA8" s="68"/>
      <c r="AB8" s="68"/>
    </row>
    <row r="9" spans="1:41" ht="33.75" customHeight="1" x14ac:dyDescent="0.25">
      <c r="A9" s="152" t="s">
        <v>130</v>
      </c>
      <c r="B9" s="152"/>
      <c r="C9" s="152"/>
      <c r="D9" s="71">
        <v>4.5</v>
      </c>
      <c r="E9" s="153" t="s">
        <v>109</v>
      </c>
      <c r="F9" s="153"/>
      <c r="G9" s="152" t="s">
        <v>24</v>
      </c>
      <c r="H9" s="152"/>
      <c r="I9" s="71">
        <v>2003.0892358809399</v>
      </c>
      <c r="J9" s="153" t="s">
        <v>213</v>
      </c>
      <c r="K9" s="153"/>
      <c r="L9" s="152"/>
      <c r="M9" s="152"/>
      <c r="N9" s="72"/>
      <c r="O9" s="153"/>
      <c r="P9" s="153"/>
      <c r="Q9" s="154" t="s">
        <v>131</v>
      </c>
      <c r="R9" s="154"/>
      <c r="S9" s="71" t="str">
        <f>IF(ABS(K41-$I$9)&lt;=1,"OK","Перевірити")</f>
        <v>OK</v>
      </c>
      <c r="T9" s="73" t="s">
        <v>219</v>
      </c>
      <c r="U9" s="154" t="s">
        <v>180</v>
      </c>
      <c r="V9" s="154"/>
      <c r="W9" s="72">
        <f>K41</f>
        <v>2003.0892358809335</v>
      </c>
      <c r="X9" s="155" t="s">
        <v>247</v>
      </c>
      <c r="Y9" s="155"/>
      <c r="Z9" s="68"/>
      <c r="AA9" s="68"/>
      <c r="AB9" s="68"/>
    </row>
    <row r="10" spans="1:41" ht="21" customHeight="1" x14ac:dyDescent="0.25">
      <c r="A10" s="2" t="s">
        <v>40</v>
      </c>
      <c r="B10" s="2" t="s">
        <v>41</v>
      </c>
      <c r="C10" s="2" t="s">
        <v>42</v>
      </c>
      <c r="D10" s="2" t="s">
        <v>133</v>
      </c>
      <c r="E10" s="2" t="s">
        <v>134</v>
      </c>
      <c r="F10" s="2" t="s">
        <v>44</v>
      </c>
      <c r="G10" s="2" t="s">
        <v>135</v>
      </c>
      <c r="H10" s="2" t="s">
        <v>136</v>
      </c>
      <c r="I10" s="2" t="s">
        <v>137</v>
      </c>
      <c r="J10" s="2" t="s">
        <v>138</v>
      </c>
      <c r="K10" s="2" t="s">
        <v>53</v>
      </c>
      <c r="L10" s="2" t="s">
        <v>139</v>
      </c>
      <c r="M10" s="2" t="s">
        <v>54</v>
      </c>
      <c r="N10" s="2" t="s">
        <v>55</v>
      </c>
      <c r="O10" s="2" t="s">
        <v>140</v>
      </c>
      <c r="P10" s="2" t="s">
        <v>141</v>
      </c>
      <c r="Q10" s="2" t="s">
        <v>142</v>
      </c>
      <c r="R10" s="2" t="s">
        <v>143</v>
      </c>
      <c r="S10" s="2" t="s">
        <v>144</v>
      </c>
      <c r="T10" s="2" t="s">
        <v>145</v>
      </c>
      <c r="U10" s="2" t="s">
        <v>146</v>
      </c>
      <c r="V10" s="2" t="s">
        <v>63</v>
      </c>
      <c r="W10" s="2" t="s">
        <v>64</v>
      </c>
      <c r="X10" s="2" t="s">
        <v>65</v>
      </c>
      <c r="Y10" s="2" t="s">
        <v>147</v>
      </c>
      <c r="Z10" s="2" t="s">
        <v>69</v>
      </c>
      <c r="AA10" s="2" t="s">
        <v>220</v>
      </c>
      <c r="AB10" s="2" t="s">
        <v>68</v>
      </c>
      <c r="AC10" s="2" t="s">
        <v>70</v>
      </c>
      <c r="AD10" s="2" t="s">
        <v>71</v>
      </c>
      <c r="AE10" s="2" t="s">
        <v>72</v>
      </c>
      <c r="AF10" s="2" t="s">
        <v>221</v>
      </c>
      <c r="AG10" s="2" t="s">
        <v>222</v>
      </c>
      <c r="AH10" s="2" t="s">
        <v>223</v>
      </c>
      <c r="AI10" s="2" t="s">
        <v>224</v>
      </c>
      <c r="AJ10" s="2" t="s">
        <v>225</v>
      </c>
      <c r="AK10" s="2" t="s">
        <v>226</v>
      </c>
    </row>
    <row r="11" spans="1:41" ht="48" customHeight="1" x14ac:dyDescent="0.2">
      <c r="A11" s="74">
        <v>1</v>
      </c>
      <c r="B11" s="75">
        <f>$I$4*$I$7/100/$I$6*100</f>
        <v>6.6787315448859186</v>
      </c>
      <c r="C11" s="74" t="s">
        <v>148</v>
      </c>
      <c r="D11" s="74" t="s">
        <v>149</v>
      </c>
      <c r="E11" s="74" t="s">
        <v>150</v>
      </c>
      <c r="F11" s="74" t="s">
        <v>75</v>
      </c>
      <c r="G11" s="74">
        <f>$I$4*$I$7/100</f>
        <v>394.32499999999999</v>
      </c>
      <c r="H11" s="74">
        <f>G11*$D$5/100</f>
        <v>98.581249999999997</v>
      </c>
      <c r="I11" s="74">
        <v>0</v>
      </c>
      <c r="J11" s="74">
        <f>$D$4</f>
        <v>22.656179749411201</v>
      </c>
      <c r="K11" s="74">
        <f>G11*J11/100</f>
        <v>89.338980796865727</v>
      </c>
      <c r="L11" s="74">
        <f>G11+H11+I11+K11</f>
        <v>582.24523079686571</v>
      </c>
      <c r="M11" s="74">
        <f>$S$7</f>
        <v>7.9131392354088597</v>
      </c>
      <c r="N11" s="74">
        <f>L11*M11/100</f>
        <v>46.073875804483649</v>
      </c>
      <c r="O11" s="74">
        <f>L11+N11</f>
        <v>628.3191066013494</v>
      </c>
      <c r="P11" s="74">
        <f>IF(OR(E11="Імпорт + оптовий продаж",E11="Оптова торгівля"),O11*$D$7/100,0)</f>
        <v>21.991168731047228</v>
      </c>
      <c r="Q11" s="74">
        <f>IF(E11="Виробництво",O11*$D$8/100,0)</f>
        <v>0</v>
      </c>
      <c r="R11" s="74">
        <f>IF(E11="Роздрібна торгівля",O11*$D$9/100,0)</f>
        <v>0</v>
      </c>
      <c r="S11" s="74">
        <f>IF(E11="Експорт товарів і напівфабрикатів",O11*$N$6/100,0)</f>
        <v>0</v>
      </c>
      <c r="T11" s="74">
        <f>IF(E11="Експорт сировини",O11*$N$7/100,0)</f>
        <v>0</v>
      </c>
      <c r="U11" s="74">
        <f>O11+P11+Q11+R11+S11+T11</f>
        <v>650.3102753323966</v>
      </c>
      <c r="V11" s="74">
        <f>N11</f>
        <v>46.073875804483649</v>
      </c>
      <c r="W11" s="74">
        <f>H11+I11+P11+Q11+R11+S11+T11</f>
        <v>120.57241873104722</v>
      </c>
      <c r="X11" s="74">
        <f>IF(OR(F11="Кінцеве споживання",F11="Експорт"),U11,0)</f>
        <v>0</v>
      </c>
      <c r="Y11" s="74">
        <f>IF(F11="Перехід",U11,0)</f>
        <v>650.3102753323966</v>
      </c>
      <c r="Z11" s="74">
        <f>IF($I$6=0,0,X11/$I$6*100-100)</f>
        <v>-100</v>
      </c>
      <c r="AA11" s="74">
        <f>IF($I$6=0,0,AC11/$I$6*100-100)</f>
        <v>-88.985614024406459</v>
      </c>
      <c r="AB11" s="74"/>
      <c r="AC11" s="74">
        <f>U11</f>
        <v>650.3102753323966</v>
      </c>
      <c r="AD11" s="74" t="s">
        <v>77</v>
      </c>
      <c r="AE11" s="74">
        <f>IF($AC$41=0,0,AC11/$AC$41*100)</f>
        <v>5.4500007260346015</v>
      </c>
      <c r="AF11" s="74" t="s">
        <v>77</v>
      </c>
      <c r="AG11" s="74">
        <v>18.828710220380898</v>
      </c>
      <c r="AH11" s="74">
        <f>IF($AC$41=0,0,AJ11/$AC$41*100)</f>
        <v>19.031747250048689</v>
      </c>
      <c r="AI11" s="74">
        <f>AH11-AG11</f>
        <v>0.20303702966779014</v>
      </c>
      <c r="AJ11" s="74">
        <f>SUMIF($AD$11:$AD$38,AF11,$AC$11:$AC$38)</f>
        <v>2270.9246138469539</v>
      </c>
      <c r="AK11" s="74" t="str">
        <f>IF(ABS(AI11)&lt;=5,"ОК","Перевірити")</f>
        <v>ОК</v>
      </c>
      <c r="AL11" s="74"/>
      <c r="AM11" s="74"/>
      <c r="AN11" s="74"/>
      <c r="AO11" s="74"/>
    </row>
    <row r="12" spans="1:41" ht="24" customHeight="1" x14ac:dyDescent="0.2">
      <c r="A12" s="76">
        <v>1</v>
      </c>
      <c r="B12" s="76">
        <f>$I$4*$I$8/100/$I$6*100</f>
        <v>20.036194634657754</v>
      </c>
      <c r="C12" s="77" t="s">
        <v>78</v>
      </c>
      <c r="D12" s="77" t="s">
        <v>151</v>
      </c>
      <c r="E12" s="77" t="s">
        <v>150</v>
      </c>
      <c r="F12" s="77" t="s">
        <v>75</v>
      </c>
      <c r="G12" s="76">
        <f>$I$4*$I$8/100</f>
        <v>1182.9749999999999</v>
      </c>
      <c r="H12" s="76">
        <v>0</v>
      </c>
      <c r="I12" s="76">
        <f>G12*$D$6/100</f>
        <v>0</v>
      </c>
      <c r="J12" s="76">
        <f>$D$4</f>
        <v>22.656179749411201</v>
      </c>
      <c r="K12" s="76">
        <f>G12*J12/100</f>
        <v>268.01694239059714</v>
      </c>
      <c r="L12" s="76">
        <f>G12+H12+I12+K12</f>
        <v>1450.9919423905972</v>
      </c>
      <c r="M12" s="76">
        <f>$S$7</f>
        <v>7.9131392354088597</v>
      </c>
      <c r="N12" s="76">
        <f>L12*M12/100</f>
        <v>114.81901269593146</v>
      </c>
      <c r="O12" s="76">
        <f>L12+N12</f>
        <v>1565.8109550865286</v>
      </c>
      <c r="P12" s="76">
        <f>IF(OR(E12="Імпорт + оптовий продаж",E12="Оптова торгівля"),O12*$D$7/100,0)</f>
        <v>54.803383428028503</v>
      </c>
      <c r="Q12" s="76">
        <f>IF(E12="Виробництво",O12*$D$8/100,0)</f>
        <v>0</v>
      </c>
      <c r="R12" s="76">
        <f>IF(E12="Роздрібна торгівля",O12*$D$9/100,0)</f>
        <v>0</v>
      </c>
      <c r="S12" s="76">
        <f>IF(E12="Експорт товарів і напівфабрикатів",O12*$N$6/100,0)</f>
        <v>0</v>
      </c>
      <c r="T12" s="76">
        <f>IF(E12="Експорт сировини",O12*$N$7/100,0)</f>
        <v>0</v>
      </c>
      <c r="U12" s="76">
        <f>O12+P12+Q12+R12+S12+T12</f>
        <v>1620.6143385145572</v>
      </c>
      <c r="V12" s="76">
        <f>N12</f>
        <v>114.81901269593146</v>
      </c>
      <c r="W12" s="76">
        <f>H12+I12+P12+Q12+R12+S12+T12</f>
        <v>54.803383428028503</v>
      </c>
      <c r="X12" s="76">
        <f>IF(OR(F12="Кінцеве споживання",F12="Експорт"),U12,0)</f>
        <v>0</v>
      </c>
      <c r="Y12" s="76">
        <f>IF(F12="Перехід",U12,0)</f>
        <v>1620.6143385145572</v>
      </c>
      <c r="Z12" s="76">
        <f>IF($I$6=0,0,X12/$I$6*100-100)</f>
        <v>-100</v>
      </c>
      <c r="AA12" s="76">
        <f>IF($I$6=0,0,AC12/$I$6*100-100)</f>
        <v>-72.551453484482096</v>
      </c>
      <c r="AB12" s="76"/>
      <c r="AC12" s="76">
        <f>U12</f>
        <v>1620.6143385145572</v>
      </c>
      <c r="AD12" s="78" t="s">
        <v>77</v>
      </c>
      <c r="AE12" s="76">
        <f>IF($AC$41=0,0,AC12/$AC$41*100)</f>
        <v>13.581746524014088</v>
      </c>
      <c r="AF12" s="76" t="s">
        <v>87</v>
      </c>
      <c r="AG12" s="76">
        <v>9.4797469506497691</v>
      </c>
      <c r="AH12" s="76">
        <f>IF($AC$41=0,0,AJ12/$AC$41*100)</f>
        <v>11.084661326151851</v>
      </c>
      <c r="AI12" s="76">
        <f>AH12-AG12</f>
        <v>1.6049143755020818</v>
      </c>
      <c r="AJ12" s="77">
        <f>SUMIF($AD$11:$AD$38,AF12,$AC$11:$AC$38)</f>
        <v>1322.6547153546953</v>
      </c>
      <c r="AK12" s="76" t="str">
        <f>IF(ABS(AI12)&lt;=5,"ОК","Перевірити")</f>
        <v>ОК</v>
      </c>
      <c r="AL12" s="76"/>
      <c r="AM12" s="76"/>
      <c r="AN12" s="76"/>
      <c r="AO12" s="77"/>
    </row>
    <row r="13" spans="1:41" ht="24" customHeight="1" x14ac:dyDescent="0.2">
      <c r="A13" s="76">
        <v>1</v>
      </c>
      <c r="B13" s="76">
        <f>$I$5/$I$6*100</f>
        <v>73.285073820456319</v>
      </c>
      <c r="C13" s="77" t="s">
        <v>152</v>
      </c>
      <c r="D13" s="77" t="s">
        <v>153</v>
      </c>
      <c r="E13" s="77" t="s">
        <v>83</v>
      </c>
      <c r="F13" s="77" t="s">
        <v>75</v>
      </c>
      <c r="G13" s="76">
        <f>$I$5</f>
        <v>4326.8900000000003</v>
      </c>
      <c r="H13" s="76">
        <v>0</v>
      </c>
      <c r="I13" s="76">
        <v>0</v>
      </c>
      <c r="J13" s="76">
        <f>$D$4</f>
        <v>22.656179749411201</v>
      </c>
      <c r="K13" s="76">
        <f>G13*J13/100</f>
        <v>980.30797595929835</v>
      </c>
      <c r="L13" s="76">
        <f>G13+H13+I13+K13</f>
        <v>5307.1979759592987</v>
      </c>
      <c r="M13" s="76">
        <f>$S$4</f>
        <v>5.3903147418599501E-2</v>
      </c>
      <c r="N13" s="76">
        <f>L13*M13/100</f>
        <v>2.8607467487782698</v>
      </c>
      <c r="O13" s="76">
        <f>L13+N13</f>
        <v>5310.0587227080769</v>
      </c>
      <c r="P13" s="76">
        <f>IF(OR(E13="Імпорт + оптовий продаж",E13="Оптова торгівля"),O13*$D$7/100,0)</f>
        <v>0</v>
      </c>
      <c r="Q13" s="76">
        <f>IF(E13="Виробництво",O13*$D$8/100,0)</f>
        <v>132.75146806770192</v>
      </c>
      <c r="R13" s="76">
        <f>IF(E13="Роздрібна торгівля",O13*$D$9/100,0)</f>
        <v>0</v>
      </c>
      <c r="S13" s="76">
        <f>IF(E13="Експорт товарів і напівфабрикатів",O13*$N$6/100,0)</f>
        <v>0</v>
      </c>
      <c r="T13" s="76">
        <f>IF(E13="Експорт сировини",O13*$N$7/100,0)</f>
        <v>0</v>
      </c>
      <c r="U13" s="76">
        <f>O13+P13+Q13+R13+S13+T13</f>
        <v>5442.8101907757791</v>
      </c>
      <c r="V13" s="76">
        <f>N13</f>
        <v>2.8607467487782698</v>
      </c>
      <c r="W13" s="76">
        <f>H13+I13+P13+Q13+R13+S13+T13</f>
        <v>132.75146806770192</v>
      </c>
      <c r="X13" s="76">
        <f>IF(OR(F13="Кінцеве споживання",F13="Експорт"),U13,0)</f>
        <v>0</v>
      </c>
      <c r="Y13" s="76">
        <f>IF(F13="Перехід",U13,0)</f>
        <v>5442.8101907757791</v>
      </c>
      <c r="Z13" s="76">
        <f>IF($I$6=0,0,X13/$I$6*100-100)</f>
        <v>-100</v>
      </c>
      <c r="AA13" s="76">
        <f>IF($I$6=0,0,AC13/$I$6*100-100)</f>
        <v>-7.8144471845286319</v>
      </c>
      <c r="AB13" s="76"/>
      <c r="AC13" s="76">
        <f>U13</f>
        <v>5442.8101907757791</v>
      </c>
      <c r="AD13" s="78" t="s">
        <v>83</v>
      </c>
      <c r="AE13" s="76">
        <f>IF($AC$41=0,0,AC13/$AC$41*100)</f>
        <v>45.61410240094169</v>
      </c>
      <c r="AF13" s="76" t="s">
        <v>98</v>
      </c>
      <c r="AG13" s="76">
        <v>9.5750952933207394</v>
      </c>
      <c r="AH13" s="76">
        <f>IF($AC$41=0,0,AJ13/$AC$41*100)</f>
        <v>10.427031502148649</v>
      </c>
      <c r="AI13" s="76">
        <f>AH13-AG13</f>
        <v>0.85193620882790988</v>
      </c>
      <c r="AJ13" s="77">
        <f>SUMIF($AD$11:$AD$38,AF13,$AC$11:$AC$38)</f>
        <v>1244.184371328616</v>
      </c>
      <c r="AK13" s="76" t="str">
        <f>IF(ABS(AI13)&lt;=5,"ОК","Перевірити")</f>
        <v>ОК</v>
      </c>
      <c r="AL13" s="76"/>
      <c r="AM13" s="76"/>
      <c r="AN13" s="76"/>
      <c r="AO13" s="77"/>
    </row>
    <row r="14" spans="1:41" ht="24" customHeight="1" x14ac:dyDescent="0.2">
      <c r="A14" s="76">
        <v>1</v>
      </c>
      <c r="B14" s="76">
        <f>SUM(B11:B13)</f>
        <v>100</v>
      </c>
      <c r="C14" s="77" t="s">
        <v>84</v>
      </c>
      <c r="D14" s="77" t="s">
        <v>85</v>
      </c>
      <c r="E14" s="77" t="s">
        <v>85</v>
      </c>
      <c r="F14" s="77" t="s">
        <v>85</v>
      </c>
      <c r="G14" s="76">
        <f>SUM(G11:G13)</f>
        <v>5904.1900000000005</v>
      </c>
      <c r="H14" s="76">
        <f>SUM(H11:H13)</f>
        <v>98.581249999999997</v>
      </c>
      <c r="I14" s="76">
        <f>SUM(I11:I13)</f>
        <v>0</v>
      </c>
      <c r="J14" s="76"/>
      <c r="K14" s="76">
        <f>SUM(K11:K13)</f>
        <v>1337.6638991467612</v>
      </c>
      <c r="L14" s="76">
        <f>SUM(L11:L13)</f>
        <v>7340.4351491467614</v>
      </c>
      <c r="M14" s="76"/>
      <c r="N14" s="76">
        <f t="shared" ref="N14:Y14" si="0">SUM(N11:N13)</f>
        <v>163.75363524919337</v>
      </c>
      <c r="O14" s="76">
        <f t="shared" si="0"/>
        <v>7504.1887843959548</v>
      </c>
      <c r="P14" s="76">
        <f t="shared" si="0"/>
        <v>76.794552159075735</v>
      </c>
      <c r="Q14" s="76">
        <f t="shared" si="0"/>
        <v>132.75146806770192</v>
      </c>
      <c r="R14" s="76">
        <f t="shared" si="0"/>
        <v>0</v>
      </c>
      <c r="S14" s="76">
        <f t="shared" si="0"/>
        <v>0</v>
      </c>
      <c r="T14" s="76">
        <f t="shared" si="0"/>
        <v>0</v>
      </c>
      <c r="U14" s="76">
        <f t="shared" si="0"/>
        <v>7713.7348046227326</v>
      </c>
      <c r="V14" s="76">
        <f t="shared" si="0"/>
        <v>163.75363524919337</v>
      </c>
      <c r="W14" s="76">
        <f t="shared" si="0"/>
        <v>308.12727022677768</v>
      </c>
      <c r="X14" s="76">
        <f t="shared" si="0"/>
        <v>0</v>
      </c>
      <c r="Y14" s="76">
        <f t="shared" si="0"/>
        <v>7713.7348046227326</v>
      </c>
      <c r="Z14" s="76">
        <f>IF($I$6=0,0,X14/$I$6*100-100)</f>
        <v>-100</v>
      </c>
      <c r="AA14" s="76">
        <f>IF($I$6=0,0,AC14/$I$6*100-100)</f>
        <v>30.648485306582813</v>
      </c>
      <c r="AB14" s="76" t="str">
        <f>IF(ABS(B14-100)&lt;=0.01,"ОК","ПОМИЛКА")</f>
        <v>ОК</v>
      </c>
      <c r="AC14" s="76">
        <f>SUM(AC11:AC13)</f>
        <v>7713.7348046227326</v>
      </c>
      <c r="AD14" s="78"/>
      <c r="AE14" s="76"/>
      <c r="AF14" s="76" t="s">
        <v>83</v>
      </c>
      <c r="AG14" s="76">
        <v>48.269229444758501</v>
      </c>
      <c r="AH14" s="76">
        <f>IF($AC$41=0,0,AJ14/$AC$41*100)</f>
        <v>45.617494270025723</v>
      </c>
      <c r="AI14" s="76">
        <f>AH14-AG14</f>
        <v>-2.651735174732778</v>
      </c>
      <c r="AJ14" s="77">
        <f>SUMIF($AD$11:$AD$38,AF14,$AC$11:$AC$38)</f>
        <v>5443.2149186701063</v>
      </c>
      <c r="AK14" s="76" t="str">
        <f>IF(ABS(AI14)&lt;=5,"ОК","Перевірити")</f>
        <v>ОК</v>
      </c>
      <c r="AL14" s="76"/>
      <c r="AM14" s="76"/>
      <c r="AN14" s="76"/>
      <c r="AO14" s="77"/>
    </row>
    <row r="15" spans="1:41" ht="24" customHeight="1" x14ac:dyDescent="0.2">
      <c r="A15" s="79"/>
      <c r="B15" s="79"/>
      <c r="C15" s="80"/>
      <c r="D15" s="80"/>
      <c r="E15" s="80"/>
      <c r="F15" s="80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7"/>
      <c r="AK15" s="76"/>
      <c r="AL15" s="76"/>
      <c r="AM15" s="76"/>
      <c r="AN15" s="76"/>
      <c r="AO15" s="77"/>
    </row>
    <row r="16" spans="1:41" ht="24" customHeight="1" x14ac:dyDescent="0.2">
      <c r="A16" s="81">
        <v>2</v>
      </c>
      <c r="B16" s="81">
        <v>6.7887035281244801</v>
      </c>
      <c r="C16" s="81" t="s">
        <v>154</v>
      </c>
      <c r="D16" s="81" t="s">
        <v>153</v>
      </c>
      <c r="E16" s="81" t="s">
        <v>155</v>
      </c>
      <c r="F16" s="81" t="s">
        <v>87</v>
      </c>
      <c r="G16" s="78">
        <f t="shared" ref="G16:G22" si="1">$Y$14*B16/100</f>
        <v>523.66258683158946</v>
      </c>
      <c r="H16" s="78">
        <v>0</v>
      </c>
      <c r="I16" s="78">
        <v>0</v>
      </c>
      <c r="J16" s="78">
        <f t="shared" ref="J16:J21" si="2">$D$4</f>
        <v>22.656179749411201</v>
      </c>
      <c r="K16" s="78">
        <f t="shared" ref="K16:K21" si="3">G16*J16/100</f>
        <v>118.64193695298141</v>
      </c>
      <c r="L16" s="78">
        <f t="shared" ref="L16:L21" si="4">G16+H16+I16+K16</f>
        <v>642.30452378457085</v>
      </c>
      <c r="M16" s="78">
        <f>$S$5</f>
        <v>18.957276244997399</v>
      </c>
      <c r="N16" s="78">
        <f t="shared" ref="N16:N21" si="5">L16*M16/100</f>
        <v>121.76344290795612</v>
      </c>
      <c r="O16" s="78">
        <f t="shared" ref="O16:O21" si="6">L16+N16</f>
        <v>764.06796669252697</v>
      </c>
      <c r="P16" s="78">
        <f t="shared" ref="P16:P21" si="7">IF(OR(E16="Імпорт + оптовий продаж",E16="Оптова торгівля"),O16*$D$7/100,0)</f>
        <v>0</v>
      </c>
      <c r="Q16" s="78">
        <f t="shared" ref="Q16:Q21" si="8">IF(E16="Виробництво",O16*$D$8/100,0)</f>
        <v>0</v>
      </c>
      <c r="R16" s="78">
        <f t="shared" ref="R16:R21" si="9">IF(E16="Роздрібна торгівля",O16*$D$9/100,0)</f>
        <v>0</v>
      </c>
      <c r="S16" s="78">
        <f t="shared" ref="S16:S21" si="10">IF(E16="Експорт товарів і напівфабрикатів",O16*$N$6/100,0)</f>
        <v>11.461019500387904</v>
      </c>
      <c r="T16" s="78">
        <f t="shared" ref="T16:T21" si="11">IF(E16="Експорт сировини",O16*$N$7/100,0)</f>
        <v>0</v>
      </c>
      <c r="U16" s="78">
        <f t="shared" ref="U16:U21" si="12">O16+P16+Q16+R16+S16+T16</f>
        <v>775.52898619291489</v>
      </c>
      <c r="V16" s="78">
        <f t="shared" ref="V16:V21" si="13">N16</f>
        <v>121.76344290795612</v>
      </c>
      <c r="W16" s="78">
        <f t="shared" ref="W16:W21" si="14">H16+I16+P16+Q16+R16+S16+T16</f>
        <v>11.461019500387904</v>
      </c>
      <c r="X16" s="78">
        <f t="shared" ref="X16:X21" si="15">IF(OR(F16="Кінцеве споживання",F16="Експорт"),U16,0)</f>
        <v>775.52898619291489</v>
      </c>
      <c r="Y16" s="78">
        <f t="shared" ref="Y16:Y21" si="16">IF(F16="Перехід",U16,0)</f>
        <v>0</v>
      </c>
      <c r="Z16" s="78">
        <f t="shared" ref="Z16:Z21" si="17">IF($I$6=0,0,X16/$I$6*100-100)</f>
        <v>-86.864769152196743</v>
      </c>
      <c r="AA16" s="78">
        <f t="shared" ref="AA16:AA21" si="18">IF($I$6=0,0,AC16/$I$6*100-100)</f>
        <v>-86.864769152196743</v>
      </c>
      <c r="AB16" s="78"/>
      <c r="AC16" s="78">
        <f t="shared" ref="AC16:AC21" si="19">U16</f>
        <v>775.52898619291489</v>
      </c>
      <c r="AD16" s="78" t="s">
        <v>87</v>
      </c>
      <c r="AE16" s="78">
        <f t="shared" ref="AE16:AE21" si="20">IF($AC$41=0,0,AC16/$AC$41*100)</f>
        <v>6.4994106630898347</v>
      </c>
      <c r="AF16" s="78"/>
      <c r="AG16" s="78"/>
      <c r="AH16" s="78"/>
      <c r="AI16" s="78"/>
      <c r="AJ16" s="77"/>
      <c r="AK16" s="76"/>
      <c r="AL16" s="76"/>
      <c r="AM16" s="76"/>
      <c r="AN16" s="76"/>
      <c r="AO16" s="77"/>
    </row>
    <row r="17" spans="1:41" ht="24" customHeight="1" x14ac:dyDescent="0.2">
      <c r="A17" s="76">
        <v>2</v>
      </c>
      <c r="B17" s="76">
        <v>2.2629011760414901</v>
      </c>
      <c r="C17" s="77" t="s">
        <v>156</v>
      </c>
      <c r="D17" s="77" t="s">
        <v>153</v>
      </c>
      <c r="E17" s="77" t="s">
        <v>157</v>
      </c>
      <c r="F17" s="77" t="s">
        <v>87</v>
      </c>
      <c r="G17" s="76">
        <f t="shared" si="1"/>
        <v>174.55419561052958</v>
      </c>
      <c r="H17" s="76">
        <v>0</v>
      </c>
      <c r="I17" s="76">
        <v>0</v>
      </c>
      <c r="J17" s="76">
        <f t="shared" si="2"/>
        <v>22.656179749411201</v>
      </c>
      <c r="K17" s="76">
        <f t="shared" si="3"/>
        <v>39.547312317660413</v>
      </c>
      <c r="L17" s="76">
        <f t="shared" si="4"/>
        <v>214.10150792818999</v>
      </c>
      <c r="M17" s="76">
        <f>$S$5</f>
        <v>18.957276244997399</v>
      </c>
      <c r="N17" s="76">
        <f t="shared" si="5"/>
        <v>40.587814302651985</v>
      </c>
      <c r="O17" s="76">
        <f t="shared" si="6"/>
        <v>254.68932223084198</v>
      </c>
      <c r="P17" s="76">
        <f t="shared" si="7"/>
        <v>0</v>
      </c>
      <c r="Q17" s="76">
        <f t="shared" si="8"/>
        <v>0</v>
      </c>
      <c r="R17" s="76">
        <f t="shared" si="9"/>
        <v>0</v>
      </c>
      <c r="S17" s="76">
        <f t="shared" si="10"/>
        <v>0</v>
      </c>
      <c r="T17" s="76">
        <f t="shared" si="11"/>
        <v>10.18757288923368</v>
      </c>
      <c r="U17" s="76">
        <f t="shared" si="12"/>
        <v>264.87689512007569</v>
      </c>
      <c r="V17" s="76">
        <f t="shared" si="13"/>
        <v>40.587814302651985</v>
      </c>
      <c r="W17" s="76">
        <f t="shared" si="14"/>
        <v>10.18757288923368</v>
      </c>
      <c r="X17" s="76">
        <f t="shared" si="15"/>
        <v>264.87689512007569</v>
      </c>
      <c r="Y17" s="76">
        <f t="shared" si="16"/>
        <v>0</v>
      </c>
      <c r="Z17" s="76">
        <f t="shared" si="17"/>
        <v>-95.513747099600863</v>
      </c>
      <c r="AA17" s="76">
        <f t="shared" si="18"/>
        <v>-95.513747099600863</v>
      </c>
      <c r="AB17" s="76"/>
      <c r="AC17" s="76">
        <f t="shared" si="19"/>
        <v>264.87689512007569</v>
      </c>
      <c r="AD17" s="78" t="s">
        <v>87</v>
      </c>
      <c r="AE17" s="76">
        <f t="shared" si="20"/>
        <v>2.2198315565232902</v>
      </c>
      <c r="AF17" s="76"/>
      <c r="AG17" s="76"/>
      <c r="AH17" s="76"/>
      <c r="AI17" s="76"/>
      <c r="AJ17" s="77"/>
      <c r="AK17" s="76"/>
      <c r="AL17" s="76"/>
      <c r="AM17" s="76"/>
      <c r="AN17" s="76"/>
      <c r="AO17" s="77"/>
    </row>
    <row r="18" spans="1:41" ht="24" customHeight="1" x14ac:dyDescent="0.25">
      <c r="A18" s="76">
        <v>2</v>
      </c>
      <c r="B18" s="76">
        <v>2.08555238626639E-3</v>
      </c>
      <c r="C18" s="77" t="s">
        <v>158</v>
      </c>
      <c r="D18" s="77" t="s">
        <v>153</v>
      </c>
      <c r="E18" s="77" t="s">
        <v>83</v>
      </c>
      <c r="F18" s="77" t="s">
        <v>90</v>
      </c>
      <c r="G18" s="76">
        <f t="shared" si="1"/>
        <v>0.16087398028807043</v>
      </c>
      <c r="H18" s="76">
        <v>0</v>
      </c>
      <c r="I18" s="76">
        <v>0</v>
      </c>
      <c r="J18" s="76">
        <f t="shared" si="2"/>
        <v>22.656179749411201</v>
      </c>
      <c r="K18" s="76">
        <f t="shared" si="3"/>
        <v>3.644789814409758E-2</v>
      </c>
      <c r="L18" s="76">
        <f t="shared" si="4"/>
        <v>0.197321878432168</v>
      </c>
      <c r="M18" s="76">
        <f>$S$4</f>
        <v>5.3903147418599501E-2</v>
      </c>
      <c r="N18" s="76">
        <f t="shared" si="5"/>
        <v>1.063627030204412E-4</v>
      </c>
      <c r="O18" s="76">
        <f t="shared" si="6"/>
        <v>0.19742824113518845</v>
      </c>
      <c r="P18" s="76">
        <f t="shared" si="7"/>
        <v>0</v>
      </c>
      <c r="Q18" s="76">
        <f t="shared" si="8"/>
        <v>4.9357060283797107E-3</v>
      </c>
      <c r="R18" s="76">
        <f t="shared" si="9"/>
        <v>0</v>
      </c>
      <c r="S18" s="76">
        <f t="shared" si="10"/>
        <v>0</v>
      </c>
      <c r="T18" s="76">
        <f t="shared" si="11"/>
        <v>0</v>
      </c>
      <c r="U18" s="76">
        <f t="shared" si="12"/>
        <v>0.20236394716356815</v>
      </c>
      <c r="V18" s="76">
        <f t="shared" si="13"/>
        <v>1.063627030204412E-4</v>
      </c>
      <c r="W18" s="76">
        <f t="shared" si="14"/>
        <v>4.9357060283797107E-3</v>
      </c>
      <c r="X18" s="76">
        <f t="shared" si="15"/>
        <v>0.20236394716356815</v>
      </c>
      <c r="Y18" s="76">
        <f t="shared" si="16"/>
        <v>0</v>
      </c>
      <c r="Z18" s="76">
        <f t="shared" si="17"/>
        <v>-99.996572536670342</v>
      </c>
      <c r="AA18" s="76">
        <f t="shared" si="18"/>
        <v>-99.996572536670342</v>
      </c>
      <c r="AB18" s="76"/>
      <c r="AC18" s="76">
        <f t="shared" si="19"/>
        <v>0.20236394716356815</v>
      </c>
      <c r="AD18" s="78" t="s">
        <v>83</v>
      </c>
      <c r="AE18" s="76">
        <f t="shared" si="20"/>
        <v>1.6959345420168106E-3</v>
      </c>
      <c r="AF18" s="76"/>
      <c r="AG18" s="76"/>
      <c r="AH18" s="76"/>
      <c r="AI18" s="76"/>
    </row>
    <row r="19" spans="1:41" ht="24" customHeight="1" x14ac:dyDescent="0.25">
      <c r="A19" s="76">
        <v>2</v>
      </c>
      <c r="B19" s="76">
        <v>2.0855523862662101E-3</v>
      </c>
      <c r="C19" s="77" t="s">
        <v>159</v>
      </c>
      <c r="D19" s="77" t="s">
        <v>153</v>
      </c>
      <c r="E19" s="77" t="s">
        <v>83</v>
      </c>
      <c r="F19" s="77" t="s">
        <v>75</v>
      </c>
      <c r="G19" s="76">
        <f t="shared" si="1"/>
        <v>0.16087398028805658</v>
      </c>
      <c r="H19" s="76">
        <v>0</v>
      </c>
      <c r="I19" s="76">
        <v>0</v>
      </c>
      <c r="J19" s="76">
        <f t="shared" si="2"/>
        <v>22.656179749411201</v>
      </c>
      <c r="K19" s="76">
        <f t="shared" si="3"/>
        <v>3.6447898144094444E-2</v>
      </c>
      <c r="L19" s="76">
        <f t="shared" si="4"/>
        <v>0.19732187843215102</v>
      </c>
      <c r="M19" s="76">
        <f>$S$4</f>
        <v>5.3903147418599501E-2</v>
      </c>
      <c r="N19" s="76">
        <f t="shared" si="5"/>
        <v>1.0636270302043207E-4</v>
      </c>
      <c r="O19" s="76">
        <f t="shared" si="6"/>
        <v>0.19742824113517143</v>
      </c>
      <c r="P19" s="76">
        <f t="shared" si="7"/>
        <v>0</v>
      </c>
      <c r="Q19" s="76">
        <f t="shared" si="8"/>
        <v>4.9357060283792857E-3</v>
      </c>
      <c r="R19" s="76">
        <f t="shared" si="9"/>
        <v>0</v>
      </c>
      <c r="S19" s="76">
        <f t="shared" si="10"/>
        <v>0</v>
      </c>
      <c r="T19" s="76">
        <f t="shared" si="11"/>
        <v>0</v>
      </c>
      <c r="U19" s="76">
        <f t="shared" si="12"/>
        <v>0.20236394716355072</v>
      </c>
      <c r="V19" s="76">
        <f t="shared" si="13"/>
        <v>1.0636270302043207E-4</v>
      </c>
      <c r="W19" s="76">
        <f t="shared" si="14"/>
        <v>4.9357060283792857E-3</v>
      </c>
      <c r="X19" s="76">
        <f t="shared" si="15"/>
        <v>0</v>
      </c>
      <c r="Y19" s="76">
        <f t="shared" si="16"/>
        <v>0.20236394716355072</v>
      </c>
      <c r="Z19" s="76">
        <f t="shared" si="17"/>
        <v>-100</v>
      </c>
      <c r="AA19" s="76">
        <f t="shared" si="18"/>
        <v>-99.996572536670342</v>
      </c>
      <c r="AB19" s="76"/>
      <c r="AC19" s="76">
        <f t="shared" si="19"/>
        <v>0.20236394716355072</v>
      </c>
      <c r="AD19" s="78" t="s">
        <v>83</v>
      </c>
      <c r="AE19" s="76">
        <f t="shared" si="20"/>
        <v>1.6959345420166647E-3</v>
      </c>
      <c r="AF19" s="76"/>
      <c r="AG19" s="76"/>
      <c r="AH19" s="76"/>
      <c r="AI19" s="76"/>
    </row>
    <row r="20" spans="1:41" ht="24" customHeight="1" x14ac:dyDescent="0.25">
      <c r="A20" s="76">
        <v>2</v>
      </c>
      <c r="B20" s="76">
        <v>7.7549278399394703</v>
      </c>
      <c r="C20" s="77" t="s">
        <v>160</v>
      </c>
      <c r="D20" s="77" t="s">
        <v>153</v>
      </c>
      <c r="E20" s="77" t="s">
        <v>161</v>
      </c>
      <c r="F20" s="77" t="s">
        <v>75</v>
      </c>
      <c r="G20" s="76">
        <f t="shared" si="1"/>
        <v>598.19456786278886</v>
      </c>
      <c r="H20" s="76">
        <v>0</v>
      </c>
      <c r="I20" s="76">
        <v>0</v>
      </c>
      <c r="J20" s="76">
        <f t="shared" si="2"/>
        <v>22.656179749411201</v>
      </c>
      <c r="K20" s="76">
        <f t="shared" si="3"/>
        <v>135.52803654620703</v>
      </c>
      <c r="L20" s="76">
        <f t="shared" si="4"/>
        <v>733.72260440899595</v>
      </c>
      <c r="M20" s="76">
        <f>$S$8</f>
        <v>6.9654082687254597</v>
      </c>
      <c r="N20" s="76">
        <f t="shared" si="5"/>
        <v>51.106774957011993</v>
      </c>
      <c r="O20" s="76">
        <f t="shared" si="6"/>
        <v>784.82937936600797</v>
      </c>
      <c r="P20" s="76">
        <f t="shared" si="7"/>
        <v>27.469028277810281</v>
      </c>
      <c r="Q20" s="76">
        <f t="shared" si="8"/>
        <v>0</v>
      </c>
      <c r="R20" s="76">
        <f t="shared" si="9"/>
        <v>0</v>
      </c>
      <c r="S20" s="76">
        <f t="shared" si="10"/>
        <v>0</v>
      </c>
      <c r="T20" s="76">
        <f t="shared" si="11"/>
        <v>0</v>
      </c>
      <c r="U20" s="76">
        <f t="shared" si="12"/>
        <v>812.29840764381822</v>
      </c>
      <c r="V20" s="76">
        <f t="shared" si="13"/>
        <v>51.106774957011993</v>
      </c>
      <c r="W20" s="76">
        <f t="shared" si="14"/>
        <v>27.469028277810281</v>
      </c>
      <c r="X20" s="76">
        <f t="shared" si="15"/>
        <v>0</v>
      </c>
      <c r="Y20" s="76">
        <f t="shared" si="16"/>
        <v>812.29840764381822</v>
      </c>
      <c r="Z20" s="76">
        <f t="shared" si="17"/>
        <v>-100</v>
      </c>
      <c r="AA20" s="76">
        <f t="shared" si="18"/>
        <v>-86.242000890150592</v>
      </c>
      <c r="AB20" s="76"/>
      <c r="AC20" s="76">
        <f t="shared" si="19"/>
        <v>812.29840764381822</v>
      </c>
      <c r="AD20" s="78" t="s">
        <v>162</v>
      </c>
      <c r="AE20" s="76">
        <f t="shared" si="20"/>
        <v>6.8075610663736628</v>
      </c>
      <c r="AF20" s="76"/>
      <c r="AG20" s="76"/>
      <c r="AH20" s="76"/>
      <c r="AI20" s="76"/>
    </row>
    <row r="21" spans="1:41" ht="24" customHeight="1" x14ac:dyDescent="0.25">
      <c r="A21" s="76">
        <v>2</v>
      </c>
      <c r="B21" s="76">
        <v>2.0855523862851701E-3</v>
      </c>
      <c r="C21" s="77" t="s">
        <v>248</v>
      </c>
      <c r="D21" s="77" t="s">
        <v>153</v>
      </c>
      <c r="E21" s="77" t="s">
        <v>161</v>
      </c>
      <c r="F21" s="77" t="s">
        <v>75</v>
      </c>
      <c r="G21" s="76">
        <f t="shared" si="1"/>
        <v>0.1608739802895191</v>
      </c>
      <c r="H21" s="76">
        <v>0</v>
      </c>
      <c r="I21" s="76">
        <v>0</v>
      </c>
      <c r="J21" s="76">
        <f t="shared" si="2"/>
        <v>22.656179749411201</v>
      </c>
      <c r="K21" s="76">
        <f t="shared" si="3"/>
        <v>3.6447898144425797E-2</v>
      </c>
      <c r="L21" s="76">
        <f t="shared" si="4"/>
        <v>0.19732187843394489</v>
      </c>
      <c r="M21" s="76">
        <f>$S$8</f>
        <v>6.9654082687254597</v>
      </c>
      <c r="N21" s="76">
        <f t="shared" si="5"/>
        <v>1.3744274436442397E-2</v>
      </c>
      <c r="O21" s="76">
        <f t="shared" si="6"/>
        <v>0.21106615287038727</v>
      </c>
      <c r="P21" s="76">
        <f t="shared" si="7"/>
        <v>7.3873153504635551E-3</v>
      </c>
      <c r="Q21" s="76">
        <f t="shared" si="8"/>
        <v>0</v>
      </c>
      <c r="R21" s="76">
        <f t="shared" si="9"/>
        <v>0</v>
      </c>
      <c r="S21" s="76">
        <f t="shared" si="10"/>
        <v>0</v>
      </c>
      <c r="T21" s="76">
        <f t="shared" si="11"/>
        <v>0</v>
      </c>
      <c r="U21" s="76">
        <f t="shared" si="12"/>
        <v>0.21845346822085082</v>
      </c>
      <c r="V21" s="76">
        <f t="shared" si="13"/>
        <v>1.3744274436442397E-2</v>
      </c>
      <c r="W21" s="76">
        <f t="shared" si="14"/>
        <v>7.3873153504635551E-3</v>
      </c>
      <c r="X21" s="76">
        <f t="shared" si="15"/>
        <v>0</v>
      </c>
      <c r="Y21" s="76">
        <f t="shared" si="16"/>
        <v>0.21845346822085082</v>
      </c>
      <c r="Z21" s="76">
        <f t="shared" si="17"/>
        <v>-100</v>
      </c>
      <c r="AA21" s="76">
        <f t="shared" si="18"/>
        <v>-99.996300026452047</v>
      </c>
      <c r="AB21" s="76"/>
      <c r="AC21" s="76">
        <f t="shared" si="19"/>
        <v>0.21845346822085082</v>
      </c>
      <c r="AD21" s="78" t="s">
        <v>162</v>
      </c>
      <c r="AE21" s="76">
        <f t="shared" si="20"/>
        <v>1.8307746403051534E-3</v>
      </c>
      <c r="AF21" s="76"/>
      <c r="AG21" s="76"/>
      <c r="AH21" s="76"/>
      <c r="AI21" s="76"/>
    </row>
    <row r="22" spans="1:41" ht="24" customHeight="1" x14ac:dyDescent="0.25">
      <c r="A22" s="76">
        <v>2</v>
      </c>
      <c r="B22" s="76">
        <v>83.187210798735805</v>
      </c>
      <c r="C22" s="77" t="s">
        <v>232</v>
      </c>
      <c r="D22" s="81" t="s">
        <v>153</v>
      </c>
      <c r="E22" s="77" t="s">
        <v>233</v>
      </c>
      <c r="F22" s="77" t="s">
        <v>233</v>
      </c>
      <c r="G22" s="76">
        <f t="shared" si="1"/>
        <v>6416.8408323769645</v>
      </c>
      <c r="H22" s="76">
        <v>0</v>
      </c>
      <c r="I22" s="76">
        <v>0</v>
      </c>
      <c r="J22" s="76">
        <f>0</f>
        <v>0</v>
      </c>
      <c r="K22" s="76">
        <f>0</f>
        <v>0</v>
      </c>
      <c r="L22" s="76">
        <f>0</f>
        <v>0</v>
      </c>
      <c r="M22" s="76">
        <f>0</f>
        <v>0</v>
      </c>
      <c r="N22" s="76">
        <f>0</f>
        <v>0</v>
      </c>
      <c r="O22" s="76">
        <f>0</f>
        <v>0</v>
      </c>
      <c r="P22" s="76">
        <f>0</f>
        <v>0</v>
      </c>
      <c r="Q22" s="76">
        <f>0</f>
        <v>0</v>
      </c>
      <c r="R22" s="76">
        <f>0</f>
        <v>0</v>
      </c>
      <c r="S22" s="76">
        <f>0</f>
        <v>0</v>
      </c>
      <c r="T22" s="76">
        <f>0</f>
        <v>0</v>
      </c>
      <c r="U22" s="76">
        <f>0</f>
        <v>0</v>
      </c>
      <c r="V22" s="76">
        <f>0</f>
        <v>0</v>
      </c>
      <c r="W22" s="76">
        <f>0</f>
        <v>0</v>
      </c>
      <c r="X22" s="76">
        <f>0</f>
        <v>0</v>
      </c>
      <c r="Y22" s="76">
        <f>0</f>
        <v>0</v>
      </c>
      <c r="Z22" s="76">
        <f>0</f>
        <v>0</v>
      </c>
      <c r="AA22" s="76">
        <f>0</f>
        <v>0</v>
      </c>
      <c r="AB22" s="76"/>
      <c r="AC22" s="76">
        <f>0</f>
        <v>0</v>
      </c>
      <c r="AD22" s="78" t="s">
        <v>234</v>
      </c>
      <c r="AE22" s="76">
        <f>0</f>
        <v>0</v>
      </c>
      <c r="AF22" s="76"/>
      <c r="AG22" s="76"/>
      <c r="AH22" s="78"/>
      <c r="AI22" s="76"/>
    </row>
    <row r="23" spans="1:41" ht="24" customHeight="1" x14ac:dyDescent="0.25">
      <c r="A23" s="79">
        <v>2</v>
      </c>
      <c r="B23" s="79">
        <f>SUM(B16:B22)</f>
        <v>100.00000000000006</v>
      </c>
      <c r="C23" s="80" t="s">
        <v>95</v>
      </c>
      <c r="D23" s="80" t="s">
        <v>85</v>
      </c>
      <c r="E23" s="80" t="s">
        <v>85</v>
      </c>
      <c r="F23" s="80" t="s">
        <v>85</v>
      </c>
      <c r="G23" s="79">
        <f>SUM(G16:G22)</f>
        <v>7713.734804622738</v>
      </c>
      <c r="H23" s="79">
        <f>SUM(H16:H22)</f>
        <v>0</v>
      </c>
      <c r="I23" s="79">
        <f>SUM(I16:I22)</f>
        <v>0</v>
      </c>
      <c r="J23" s="79"/>
      <c r="K23" s="79">
        <f>SUM(K16:K22)</f>
        <v>293.82662951128151</v>
      </c>
      <c r="L23" s="79">
        <f>SUM(L16:L22)</f>
        <v>1590.720601757055</v>
      </c>
      <c r="M23" s="79"/>
      <c r="N23" s="79">
        <f t="shared" ref="N23:Y23" si="21">SUM(N16:N22)</f>
        <v>213.47198916746257</v>
      </c>
      <c r="O23" s="79">
        <f t="shared" si="21"/>
        <v>1804.1925909245178</v>
      </c>
      <c r="P23" s="79">
        <f t="shared" si="21"/>
        <v>27.476415593160745</v>
      </c>
      <c r="Q23" s="79">
        <f t="shared" si="21"/>
        <v>9.8714120567589964E-3</v>
      </c>
      <c r="R23" s="79">
        <f t="shared" si="21"/>
        <v>0</v>
      </c>
      <c r="S23" s="79">
        <f t="shared" si="21"/>
        <v>11.461019500387904</v>
      </c>
      <c r="T23" s="79">
        <f t="shared" si="21"/>
        <v>10.18757288923368</v>
      </c>
      <c r="U23" s="79">
        <f t="shared" si="21"/>
        <v>1853.3274703193567</v>
      </c>
      <c r="V23" s="79">
        <f t="shared" si="21"/>
        <v>213.47198916746257</v>
      </c>
      <c r="W23" s="79">
        <f t="shared" si="21"/>
        <v>49.134879394839089</v>
      </c>
      <c r="X23" s="79">
        <f t="shared" si="21"/>
        <v>1040.608245260154</v>
      </c>
      <c r="Y23" s="79">
        <f t="shared" si="21"/>
        <v>812.7192250592027</v>
      </c>
      <c r="Z23" s="79">
        <f>IF($I$6=0,0,X23/$I$6*100-100)</f>
        <v>-82.375088788467963</v>
      </c>
      <c r="AA23" s="79">
        <f>IF($I$6=0,0,AC23/$I$6*100-100)</f>
        <v>-68.609962241740931</v>
      </c>
      <c r="AB23" s="79" t="str">
        <f>IF(ABS(B23-100)&lt;=0.01,"ОК","ПОМИЛКА")</f>
        <v>ОК</v>
      </c>
      <c r="AC23" s="79">
        <f>SUM(AC16:AC22)</f>
        <v>1853.3274703193567</v>
      </c>
      <c r="AD23" s="79"/>
      <c r="AE23" s="79"/>
      <c r="AF23" s="79"/>
      <c r="AG23" s="79"/>
      <c r="AH23" s="79"/>
      <c r="AI23" s="79"/>
    </row>
    <row r="24" spans="1:41" ht="24" customHeight="1" x14ac:dyDescent="0.25">
      <c r="A24" s="81"/>
      <c r="B24" s="81"/>
      <c r="C24" s="81"/>
      <c r="D24" s="81"/>
      <c r="E24" s="81"/>
      <c r="F24" s="81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</row>
    <row r="25" spans="1:41" ht="24" customHeight="1" x14ac:dyDescent="0.25">
      <c r="A25" s="76">
        <v>3</v>
      </c>
      <c r="B25" s="76">
        <v>17.479957466594701</v>
      </c>
      <c r="C25" s="77" t="s">
        <v>154</v>
      </c>
      <c r="D25" s="77" t="s">
        <v>153</v>
      </c>
      <c r="E25" s="77" t="s">
        <v>155</v>
      </c>
      <c r="F25" s="77" t="s">
        <v>87</v>
      </c>
      <c r="G25" s="76">
        <f t="shared" ref="G25:G31" si="22">$Y$23*B25/100</f>
        <v>142.0629748631867</v>
      </c>
      <c r="H25" s="76">
        <v>0</v>
      </c>
      <c r="I25" s="76">
        <v>0</v>
      </c>
      <c r="J25" s="76">
        <f t="shared" ref="J25:J30" si="23">$D$4</f>
        <v>22.656179749411201</v>
      </c>
      <c r="K25" s="76">
        <f t="shared" ref="K25:K30" si="24">G25*J25/100</f>
        <v>32.186042942364431</v>
      </c>
      <c r="L25" s="76">
        <f t="shared" ref="L25:L30" si="25">G25+H25+I25+K25</f>
        <v>174.24901780555112</v>
      </c>
      <c r="M25" s="76">
        <f>$S$5</f>
        <v>18.957276244997399</v>
      </c>
      <c r="N25" s="76">
        <f t="shared" ref="N25:N30" si="26">L25*M25/100</f>
        <v>33.03286765959303</v>
      </c>
      <c r="O25" s="76">
        <f t="shared" ref="O25:O30" si="27">L25+N25</f>
        <v>207.28188546514414</v>
      </c>
      <c r="P25" s="76">
        <f t="shared" ref="P25:P30" si="28">IF(OR(E25="Імпорт + оптовий продаж",E25="Оптова торгівля"),O25*$D$7/100,0)</f>
        <v>0</v>
      </c>
      <c r="Q25" s="76">
        <f t="shared" ref="Q25:Q30" si="29">IF(E25="Виробництво",O25*$D$8/100,0)</f>
        <v>0</v>
      </c>
      <c r="R25" s="76">
        <f t="shared" ref="R25:R30" si="30">IF(E25="Роздрібна торгівля",O25*$D$9/100,0)</f>
        <v>0</v>
      </c>
      <c r="S25" s="76">
        <f t="shared" ref="S25:S30" si="31">IF(E25="Експорт товарів і напівфабрикатів",O25*$N$6/100,0)</f>
        <v>3.1092282819771624</v>
      </c>
      <c r="T25" s="76">
        <f t="shared" ref="T25:T30" si="32">IF(E25="Експорт сировини",O25*$N$7/100,0)</f>
        <v>0</v>
      </c>
      <c r="U25" s="76">
        <f t="shared" ref="U25:U30" si="33">O25+P25+Q25+R25+S25+T25</f>
        <v>210.3911137471213</v>
      </c>
      <c r="V25" s="76">
        <f t="shared" ref="V25:V30" si="34">N25</f>
        <v>33.03286765959303</v>
      </c>
      <c r="W25" s="76">
        <f t="shared" ref="W25:W30" si="35">H25+I25+P25+Q25+R25+S25+T25</f>
        <v>3.1092282819771624</v>
      </c>
      <c r="X25" s="76">
        <f t="shared" ref="X25:X30" si="36">IF(OR(F25="Кінцеве споживання",F25="Експорт"),U25,0)</f>
        <v>210.3911137471213</v>
      </c>
      <c r="Y25" s="76">
        <f t="shared" ref="Y25:Y30" si="37">IF(F25="Перехід",U25,0)</f>
        <v>0</v>
      </c>
      <c r="Z25" s="76">
        <f t="shared" ref="Z25:Z30" si="38">IF($I$6=0,0,X25/$I$6*100-100)</f>
        <v>-96.436579552027951</v>
      </c>
      <c r="AA25" s="76">
        <f t="shared" ref="AA25:AA30" si="39">IF($I$6=0,0,AC25/$I$6*100-100)</f>
        <v>-96.436579552027951</v>
      </c>
      <c r="AB25" s="76"/>
      <c r="AC25" s="76">
        <f t="shared" ref="AC25:AC30" si="40">U25</f>
        <v>210.3911137471213</v>
      </c>
      <c r="AD25" s="78" t="s">
        <v>87</v>
      </c>
      <c r="AE25" s="76">
        <f t="shared" ref="AE25:AE30" si="41">IF($AC$41=0,0,AC25/$AC$41*100)</f>
        <v>1.7632071430625258</v>
      </c>
      <c r="AF25" s="76"/>
      <c r="AG25" s="76"/>
      <c r="AH25" s="76"/>
      <c r="AI25" s="76"/>
    </row>
    <row r="26" spans="1:41" ht="24" customHeight="1" x14ac:dyDescent="0.25">
      <c r="A26" s="76">
        <v>3</v>
      </c>
      <c r="B26" s="76">
        <v>5.8266524888649096</v>
      </c>
      <c r="C26" s="77" t="s">
        <v>156</v>
      </c>
      <c r="D26" s="77" t="s">
        <v>153</v>
      </c>
      <c r="E26" s="77" t="s">
        <v>157</v>
      </c>
      <c r="F26" s="77" t="s">
        <v>87</v>
      </c>
      <c r="G26" s="76">
        <f t="shared" si="22"/>
        <v>47.354324954395643</v>
      </c>
      <c r="H26" s="76">
        <v>0</v>
      </c>
      <c r="I26" s="76">
        <v>0</v>
      </c>
      <c r="J26" s="76">
        <f t="shared" si="23"/>
        <v>22.656179749411201</v>
      </c>
      <c r="K26" s="76">
        <f t="shared" si="24"/>
        <v>10.728680980788161</v>
      </c>
      <c r="L26" s="76">
        <f t="shared" si="25"/>
        <v>58.083005935183806</v>
      </c>
      <c r="M26" s="76">
        <f>$S$5</f>
        <v>18.957276244997399</v>
      </c>
      <c r="N26" s="76">
        <f t="shared" si="26"/>
        <v>11.010955886531029</v>
      </c>
      <c r="O26" s="76">
        <f t="shared" si="27"/>
        <v>69.093961821714828</v>
      </c>
      <c r="P26" s="76">
        <f t="shared" si="28"/>
        <v>0</v>
      </c>
      <c r="Q26" s="76">
        <f t="shared" si="29"/>
        <v>0</v>
      </c>
      <c r="R26" s="76">
        <f t="shared" si="30"/>
        <v>0</v>
      </c>
      <c r="S26" s="76">
        <f t="shared" si="31"/>
        <v>0</v>
      </c>
      <c r="T26" s="76">
        <f t="shared" si="32"/>
        <v>2.7637584728685933</v>
      </c>
      <c r="U26" s="76">
        <f t="shared" si="33"/>
        <v>71.857720294583416</v>
      </c>
      <c r="V26" s="76">
        <f t="shared" si="34"/>
        <v>11.010955886531029</v>
      </c>
      <c r="W26" s="76">
        <f t="shared" si="35"/>
        <v>2.7637584728685933</v>
      </c>
      <c r="X26" s="76">
        <f t="shared" si="36"/>
        <v>71.857720294583416</v>
      </c>
      <c r="Y26" s="76">
        <f t="shared" si="37"/>
        <v>0</v>
      </c>
      <c r="Z26" s="76">
        <f t="shared" si="38"/>
        <v>-98.782936858492306</v>
      </c>
      <c r="AA26" s="76">
        <f t="shared" si="39"/>
        <v>-98.782936858492306</v>
      </c>
      <c r="AB26" s="76"/>
      <c r="AC26" s="76">
        <f t="shared" si="40"/>
        <v>71.857720294583416</v>
      </c>
      <c r="AD26" s="78" t="s">
        <v>87</v>
      </c>
      <c r="AE26" s="76">
        <f t="shared" si="41"/>
        <v>0.60221196347620021</v>
      </c>
      <c r="AF26" s="76"/>
      <c r="AG26" s="76"/>
      <c r="AH26" s="76"/>
      <c r="AI26" s="76"/>
    </row>
    <row r="27" spans="1:41" ht="24" customHeight="1" x14ac:dyDescent="0.25">
      <c r="A27" s="76">
        <v>3</v>
      </c>
      <c r="B27" s="76">
        <v>1.17947717011243E-16</v>
      </c>
      <c r="C27" s="77" t="s">
        <v>158</v>
      </c>
      <c r="D27" s="77" t="s">
        <v>153</v>
      </c>
      <c r="E27" s="77" t="s">
        <v>83</v>
      </c>
      <c r="F27" s="77" t="s">
        <v>90</v>
      </c>
      <c r="G27" s="76">
        <f t="shared" si="22"/>
        <v>9.585837716687956E-16</v>
      </c>
      <c r="H27" s="76">
        <v>0</v>
      </c>
      <c r="I27" s="76">
        <v>0</v>
      </c>
      <c r="J27" s="76">
        <f t="shared" si="23"/>
        <v>22.656179749411201</v>
      </c>
      <c r="K27" s="76">
        <f t="shared" si="24"/>
        <v>2.171784623579678E-16</v>
      </c>
      <c r="L27" s="76">
        <f t="shared" si="25"/>
        <v>1.1757622340267634E-15</v>
      </c>
      <c r="M27" s="76">
        <f>$S$4</f>
        <v>5.3903147418599501E-2</v>
      </c>
      <c r="N27" s="76">
        <f t="shared" si="26"/>
        <v>6.3377285029966506E-19</v>
      </c>
      <c r="O27" s="76">
        <f t="shared" si="27"/>
        <v>1.176396006877063E-15</v>
      </c>
      <c r="P27" s="76">
        <f t="shared" si="28"/>
        <v>0</v>
      </c>
      <c r="Q27" s="76">
        <f t="shared" si="29"/>
        <v>2.9409900171926576E-17</v>
      </c>
      <c r="R27" s="76">
        <f t="shared" si="30"/>
        <v>0</v>
      </c>
      <c r="S27" s="76">
        <f t="shared" si="31"/>
        <v>0</v>
      </c>
      <c r="T27" s="76">
        <f t="shared" si="32"/>
        <v>0</v>
      </c>
      <c r="U27" s="76">
        <f t="shared" si="33"/>
        <v>1.2058059070489896E-15</v>
      </c>
      <c r="V27" s="76">
        <f t="shared" si="34"/>
        <v>6.3377285029966506E-19</v>
      </c>
      <c r="W27" s="76">
        <f t="shared" si="35"/>
        <v>2.9409900171926576E-17</v>
      </c>
      <c r="X27" s="76">
        <f t="shared" si="36"/>
        <v>1.2058059070489896E-15</v>
      </c>
      <c r="Y27" s="76">
        <f t="shared" si="37"/>
        <v>0</v>
      </c>
      <c r="Z27" s="76">
        <f t="shared" si="38"/>
        <v>-100</v>
      </c>
      <c r="AA27" s="76">
        <f t="shared" si="39"/>
        <v>-100</v>
      </c>
      <c r="AB27" s="76"/>
      <c r="AC27" s="76">
        <f t="shared" si="40"/>
        <v>1.2058059070489896E-15</v>
      </c>
      <c r="AD27" s="78" t="s">
        <v>83</v>
      </c>
      <c r="AE27" s="76">
        <f t="shared" si="41"/>
        <v>1.0105396328721401E-17</v>
      </c>
      <c r="AF27" s="76"/>
      <c r="AG27" s="76"/>
      <c r="AH27" s="76"/>
      <c r="AI27" s="76"/>
    </row>
    <row r="28" spans="1:41" ht="24" customHeight="1" x14ac:dyDescent="0.25">
      <c r="A28" s="76">
        <v>3</v>
      </c>
      <c r="B28" s="76">
        <v>1.01486935735013E-16</v>
      </c>
      <c r="C28" s="77" t="s">
        <v>159</v>
      </c>
      <c r="D28" s="77" t="s">
        <v>153</v>
      </c>
      <c r="E28" s="77" t="s">
        <v>83</v>
      </c>
      <c r="F28" s="77" t="s">
        <v>75</v>
      </c>
      <c r="G28" s="76">
        <f t="shared" si="22"/>
        <v>8.2480383764192861E-16</v>
      </c>
      <c r="H28" s="76">
        <v>0</v>
      </c>
      <c r="I28" s="76">
        <v>0</v>
      </c>
      <c r="J28" s="76">
        <f t="shared" si="23"/>
        <v>22.656179749411201</v>
      </c>
      <c r="K28" s="76">
        <f t="shared" si="24"/>
        <v>1.8686904003619707E-16</v>
      </c>
      <c r="L28" s="76">
        <f t="shared" si="25"/>
        <v>1.0116728776781256E-15</v>
      </c>
      <c r="M28" s="76">
        <f>$S$4</f>
        <v>5.3903147418599501E-2</v>
      </c>
      <c r="N28" s="76">
        <f t="shared" si="26"/>
        <v>5.453235226488278E-19</v>
      </c>
      <c r="O28" s="76">
        <f t="shared" si="27"/>
        <v>1.0122182012007743E-15</v>
      </c>
      <c r="P28" s="76">
        <f t="shared" si="28"/>
        <v>0</v>
      </c>
      <c r="Q28" s="76">
        <f t="shared" si="29"/>
        <v>2.5305455030019356E-17</v>
      </c>
      <c r="R28" s="76">
        <f t="shared" si="30"/>
        <v>0</v>
      </c>
      <c r="S28" s="76">
        <f t="shared" si="31"/>
        <v>0</v>
      </c>
      <c r="T28" s="76">
        <f t="shared" si="32"/>
        <v>0</v>
      </c>
      <c r="U28" s="76">
        <f t="shared" si="33"/>
        <v>1.0375236562307937E-15</v>
      </c>
      <c r="V28" s="76">
        <f t="shared" si="34"/>
        <v>5.453235226488278E-19</v>
      </c>
      <c r="W28" s="76">
        <f t="shared" si="35"/>
        <v>2.5305455030019356E-17</v>
      </c>
      <c r="X28" s="76">
        <f t="shared" si="36"/>
        <v>0</v>
      </c>
      <c r="Y28" s="76">
        <f t="shared" si="37"/>
        <v>1.0375236562307937E-15</v>
      </c>
      <c r="Z28" s="76">
        <f t="shared" si="38"/>
        <v>-100</v>
      </c>
      <c r="AA28" s="76">
        <f t="shared" si="39"/>
        <v>-100</v>
      </c>
      <c r="AB28" s="76"/>
      <c r="AC28" s="76">
        <f t="shared" si="40"/>
        <v>1.0375236562307937E-15</v>
      </c>
      <c r="AD28" s="78" t="s">
        <v>83</v>
      </c>
      <c r="AE28" s="76">
        <f t="shared" si="41"/>
        <v>8.6950873978512519E-18</v>
      </c>
      <c r="AF28" s="76"/>
      <c r="AG28" s="76"/>
      <c r="AH28" s="76"/>
      <c r="AI28" s="76"/>
    </row>
    <row r="29" spans="1:41" ht="24" customHeight="1" x14ac:dyDescent="0.25">
      <c r="A29" s="76">
        <v>3</v>
      </c>
      <c r="B29" s="76">
        <v>62.893070691790697</v>
      </c>
      <c r="C29" s="77" t="s">
        <v>160</v>
      </c>
      <c r="D29" s="77" t="s">
        <v>153</v>
      </c>
      <c r="E29" s="77" t="s">
        <v>161</v>
      </c>
      <c r="F29" s="77" t="s">
        <v>75</v>
      </c>
      <c r="G29" s="76">
        <f t="shared" si="22"/>
        <v>511.14407674225788</v>
      </c>
      <c r="H29" s="76">
        <v>0</v>
      </c>
      <c r="I29" s="76">
        <v>0</v>
      </c>
      <c r="J29" s="76">
        <f t="shared" si="23"/>
        <v>22.656179749411201</v>
      </c>
      <c r="K29" s="76">
        <f t="shared" si="24"/>
        <v>115.80572080519428</v>
      </c>
      <c r="L29" s="76">
        <f t="shared" si="25"/>
        <v>626.94979754745214</v>
      </c>
      <c r="M29" s="76">
        <f>$S$8</f>
        <v>6.9654082687254597</v>
      </c>
      <c r="N29" s="76">
        <f t="shared" si="26"/>
        <v>43.669613039127761</v>
      </c>
      <c r="O29" s="76">
        <f t="shared" si="27"/>
        <v>670.61941058657987</v>
      </c>
      <c r="P29" s="76">
        <f t="shared" si="28"/>
        <v>23.471679370530296</v>
      </c>
      <c r="Q29" s="76">
        <f t="shared" si="29"/>
        <v>0</v>
      </c>
      <c r="R29" s="76">
        <f t="shared" si="30"/>
        <v>0</v>
      </c>
      <c r="S29" s="76">
        <f t="shared" si="31"/>
        <v>0</v>
      </c>
      <c r="T29" s="76">
        <f t="shared" si="32"/>
        <v>0</v>
      </c>
      <c r="U29" s="76">
        <f t="shared" si="33"/>
        <v>694.09108995711017</v>
      </c>
      <c r="V29" s="76">
        <f t="shared" si="34"/>
        <v>43.669613039127761</v>
      </c>
      <c r="W29" s="76">
        <f t="shared" si="35"/>
        <v>23.471679370530296</v>
      </c>
      <c r="X29" s="76">
        <f t="shared" si="36"/>
        <v>0</v>
      </c>
      <c r="Y29" s="76">
        <f t="shared" si="37"/>
        <v>694.09108995711017</v>
      </c>
      <c r="Z29" s="76">
        <f t="shared" si="38"/>
        <v>-100</v>
      </c>
      <c r="AA29" s="76">
        <f t="shared" si="39"/>
        <v>-88.244092924565265</v>
      </c>
      <c r="AB29" s="76"/>
      <c r="AC29" s="76">
        <f t="shared" si="40"/>
        <v>694.09108995711017</v>
      </c>
      <c r="AD29" s="78" t="s">
        <v>162</v>
      </c>
      <c r="AE29" s="76">
        <f t="shared" si="41"/>
        <v>5.8169109234309371</v>
      </c>
      <c r="AF29" s="76"/>
      <c r="AG29" s="76"/>
      <c r="AH29" s="76"/>
      <c r="AI29" s="76"/>
    </row>
    <row r="30" spans="1:41" ht="24" customHeight="1" x14ac:dyDescent="0.25">
      <c r="A30" s="76">
        <v>3</v>
      </c>
      <c r="B30" s="76">
        <v>13.112523640093301</v>
      </c>
      <c r="C30" s="77" t="s">
        <v>248</v>
      </c>
      <c r="D30" s="81" t="s">
        <v>153</v>
      </c>
      <c r="E30" s="77" t="s">
        <v>161</v>
      </c>
      <c r="F30" s="77" t="s">
        <v>75</v>
      </c>
      <c r="G30" s="76">
        <f t="shared" si="22"/>
        <v>106.56800051347103</v>
      </c>
      <c r="H30" s="76">
        <v>0</v>
      </c>
      <c r="I30" s="76">
        <v>0</v>
      </c>
      <c r="J30" s="76">
        <f t="shared" si="23"/>
        <v>22.656179749411201</v>
      </c>
      <c r="K30" s="76">
        <f t="shared" si="24"/>
        <v>24.144237751685452</v>
      </c>
      <c r="L30" s="76">
        <f t="shared" si="25"/>
        <v>130.71223826515649</v>
      </c>
      <c r="M30" s="76">
        <f>$S$8</f>
        <v>6.9654082687254597</v>
      </c>
      <c r="N30" s="76">
        <f t="shared" si="26"/>
        <v>9.1046410523573336</v>
      </c>
      <c r="O30" s="76">
        <f t="shared" si="27"/>
        <v>139.81687931751381</v>
      </c>
      <c r="P30" s="76">
        <f t="shared" si="28"/>
        <v>4.8935907761129833</v>
      </c>
      <c r="Q30" s="76">
        <f t="shared" si="29"/>
        <v>0</v>
      </c>
      <c r="R30" s="76">
        <f t="shared" si="30"/>
        <v>0</v>
      </c>
      <c r="S30" s="76">
        <f t="shared" si="31"/>
        <v>0</v>
      </c>
      <c r="T30" s="76">
        <f t="shared" si="32"/>
        <v>0</v>
      </c>
      <c r="U30" s="76">
        <f t="shared" si="33"/>
        <v>144.71047009362678</v>
      </c>
      <c r="V30" s="76">
        <f t="shared" si="34"/>
        <v>9.1046410523573336</v>
      </c>
      <c r="W30" s="76">
        <f t="shared" si="35"/>
        <v>4.8935907761129833</v>
      </c>
      <c r="X30" s="76">
        <f t="shared" si="36"/>
        <v>0</v>
      </c>
      <c r="Y30" s="76">
        <f t="shared" si="37"/>
        <v>144.71047009362678</v>
      </c>
      <c r="Z30" s="76">
        <f t="shared" si="38"/>
        <v>-100</v>
      </c>
      <c r="AA30" s="76">
        <f t="shared" si="39"/>
        <v>-97.549020778572057</v>
      </c>
      <c r="AB30" s="76"/>
      <c r="AC30" s="76">
        <f t="shared" si="40"/>
        <v>144.71047009362678</v>
      </c>
      <c r="AD30" s="78" t="s">
        <v>162</v>
      </c>
      <c r="AE30" s="76">
        <f t="shared" si="41"/>
        <v>1.2127628871802096</v>
      </c>
      <c r="AF30" s="76"/>
      <c r="AG30" s="76"/>
      <c r="AH30" s="78"/>
      <c r="AI30" s="76"/>
    </row>
    <row r="31" spans="1:41" ht="24" customHeight="1" x14ac:dyDescent="0.25">
      <c r="A31" s="79">
        <v>3</v>
      </c>
      <c r="B31" s="79">
        <v>0.68779571265639206</v>
      </c>
      <c r="C31" s="80" t="s">
        <v>232</v>
      </c>
      <c r="D31" s="80" t="s">
        <v>153</v>
      </c>
      <c r="E31" s="80" t="s">
        <v>233</v>
      </c>
      <c r="F31" s="80" t="s">
        <v>233</v>
      </c>
      <c r="G31" s="79">
        <f t="shared" si="22"/>
        <v>5.58984798589145</v>
      </c>
      <c r="H31" s="79">
        <v>0</v>
      </c>
      <c r="I31" s="79">
        <v>0</v>
      </c>
      <c r="J31" s="79">
        <f>0</f>
        <v>0</v>
      </c>
      <c r="K31" s="79">
        <f>0</f>
        <v>0</v>
      </c>
      <c r="L31" s="79">
        <f>0</f>
        <v>0</v>
      </c>
      <c r="M31" s="79">
        <f>0</f>
        <v>0</v>
      </c>
      <c r="N31" s="79">
        <f>0</f>
        <v>0</v>
      </c>
      <c r="O31" s="79">
        <f>0</f>
        <v>0</v>
      </c>
      <c r="P31" s="79">
        <f>0</f>
        <v>0</v>
      </c>
      <c r="Q31" s="79">
        <f>0</f>
        <v>0</v>
      </c>
      <c r="R31" s="79">
        <f>0</f>
        <v>0</v>
      </c>
      <c r="S31" s="79">
        <f>0</f>
        <v>0</v>
      </c>
      <c r="T31" s="79">
        <f>0</f>
        <v>0</v>
      </c>
      <c r="U31" s="79">
        <f>0</f>
        <v>0</v>
      </c>
      <c r="V31" s="79">
        <f>0</f>
        <v>0</v>
      </c>
      <c r="W31" s="79">
        <f>0</f>
        <v>0</v>
      </c>
      <c r="X31" s="79">
        <f>0</f>
        <v>0</v>
      </c>
      <c r="Y31" s="79">
        <f>0</f>
        <v>0</v>
      </c>
      <c r="Z31" s="79">
        <f>0</f>
        <v>0</v>
      </c>
      <c r="AA31" s="79">
        <f>0</f>
        <v>0</v>
      </c>
      <c r="AB31" s="79"/>
      <c r="AC31" s="79">
        <f>0</f>
        <v>0</v>
      </c>
      <c r="AD31" s="79" t="s">
        <v>234</v>
      </c>
      <c r="AE31" s="79">
        <f>0</f>
        <v>0</v>
      </c>
      <c r="AF31" s="79"/>
      <c r="AG31" s="79"/>
      <c r="AH31" s="79"/>
      <c r="AI31" s="79"/>
    </row>
    <row r="32" spans="1:41" ht="24" customHeight="1" x14ac:dyDescent="0.25">
      <c r="A32" s="81">
        <v>3</v>
      </c>
      <c r="B32" s="81">
        <f>SUM(B25:B31)</f>
        <v>100</v>
      </c>
      <c r="C32" s="81" t="s">
        <v>96</v>
      </c>
      <c r="D32" s="81" t="s">
        <v>85</v>
      </c>
      <c r="E32" s="81" t="s">
        <v>85</v>
      </c>
      <c r="F32" s="81" t="s">
        <v>85</v>
      </c>
      <c r="G32" s="78">
        <f>SUM(G25:G31)</f>
        <v>812.7192250592027</v>
      </c>
      <c r="H32" s="78">
        <f>SUM(H25:H31)</f>
        <v>0</v>
      </c>
      <c r="I32" s="78">
        <f>SUM(I25:I31)</f>
        <v>0</v>
      </c>
      <c r="J32" s="78"/>
      <c r="K32" s="78">
        <f>SUM(K25:K31)</f>
        <v>182.86468248003234</v>
      </c>
      <c r="L32" s="78">
        <f>SUM(L25:L31)</f>
        <v>989.9940595533435</v>
      </c>
      <c r="M32" s="78"/>
      <c r="N32" s="78">
        <f t="shared" ref="N32:Y32" si="42">SUM(N25:N31)</f>
        <v>96.818077637609164</v>
      </c>
      <c r="O32" s="78">
        <f t="shared" si="42"/>
        <v>1086.8121371909526</v>
      </c>
      <c r="P32" s="78">
        <f t="shared" si="42"/>
        <v>28.36527014664328</v>
      </c>
      <c r="Q32" s="78">
        <f t="shared" si="42"/>
        <v>5.4715355201945929E-17</v>
      </c>
      <c r="R32" s="78">
        <f t="shared" si="42"/>
        <v>0</v>
      </c>
      <c r="S32" s="78">
        <f t="shared" si="42"/>
        <v>3.1092282819771624</v>
      </c>
      <c r="T32" s="78">
        <f t="shared" si="42"/>
        <v>2.7637584728685933</v>
      </c>
      <c r="U32" s="78">
        <f t="shared" si="42"/>
        <v>1121.0503940924416</v>
      </c>
      <c r="V32" s="78">
        <f t="shared" si="42"/>
        <v>96.818077637609164</v>
      </c>
      <c r="W32" s="78">
        <f t="shared" si="42"/>
        <v>34.238256901489038</v>
      </c>
      <c r="X32" s="78">
        <f t="shared" si="42"/>
        <v>282.2488340417047</v>
      </c>
      <c r="Y32" s="78">
        <f t="shared" si="42"/>
        <v>838.80156005073695</v>
      </c>
      <c r="Z32" s="78">
        <f>IF($I$6=0,0,X32/$I$6*100-100)</f>
        <v>-95.219516410520242</v>
      </c>
      <c r="AA32" s="78">
        <f>IF($I$6=0,0,AC32/$I$6*100-100)</f>
        <v>-81.012630113657565</v>
      </c>
      <c r="AB32" s="78" t="str">
        <f>IF(ABS(B32-100)&lt;=0.01,"ОК","ПОМИЛКА")</f>
        <v>ОК</v>
      </c>
      <c r="AC32" s="78">
        <f>SUM(AC25:AC31)</f>
        <v>1121.0503940924416</v>
      </c>
      <c r="AD32" s="78"/>
      <c r="AE32" s="78"/>
      <c r="AF32" s="78"/>
      <c r="AG32" s="78"/>
      <c r="AH32" s="78"/>
      <c r="AI32" s="78"/>
    </row>
    <row r="33" spans="1:37" ht="24" customHeight="1" x14ac:dyDescent="0.25">
      <c r="A33" s="76"/>
      <c r="B33" s="76"/>
      <c r="C33" s="77"/>
      <c r="D33" s="77"/>
      <c r="E33" s="77"/>
      <c r="F33" s="77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8"/>
      <c r="AE33" s="76"/>
      <c r="AF33" s="76"/>
      <c r="AG33" s="76"/>
      <c r="AH33" s="76"/>
      <c r="AI33" s="76"/>
    </row>
    <row r="34" spans="1:37" ht="24" customHeight="1" x14ac:dyDescent="0.25">
      <c r="A34" s="76">
        <v>4</v>
      </c>
      <c r="B34" s="76">
        <v>2.47067834085554E-16</v>
      </c>
      <c r="C34" s="77" t="s">
        <v>249</v>
      </c>
      <c r="D34" s="77" t="s">
        <v>153</v>
      </c>
      <c r="E34" s="77" t="s">
        <v>164</v>
      </c>
      <c r="F34" s="77" t="s">
        <v>90</v>
      </c>
      <c r="G34" s="76">
        <f>$Y$32*B34/100</f>
        <v>2.0724088466931936E-15</v>
      </c>
      <c r="H34" s="76">
        <v>0</v>
      </c>
      <c r="I34" s="76">
        <v>0</v>
      </c>
      <c r="J34" s="76">
        <f>$D$4</f>
        <v>22.656179749411201</v>
      </c>
      <c r="K34" s="76">
        <f>G34*J34/100</f>
        <v>4.6952867344950957E-16</v>
      </c>
      <c r="L34" s="76">
        <f>G34+H34+I34+K34</f>
        <v>2.5419375201427031E-15</v>
      </c>
      <c r="M34" s="76">
        <f>$S$6</f>
        <v>16.524030321626402</v>
      </c>
      <c r="N34" s="76">
        <f>L34*M34/100</f>
        <v>4.2003052658517852E-16</v>
      </c>
      <c r="O34" s="76">
        <f>L34+N34</f>
        <v>2.9619680467278817E-15</v>
      </c>
      <c r="P34" s="76">
        <f>IF(OR(E34="Імпорт + оптовий продаж",E34="Оптова торгівля"),O34*$D$7/100,0)</f>
        <v>0</v>
      </c>
      <c r="Q34" s="76">
        <f>IF(E34="Виробництво",O34*$D$8/100,0)</f>
        <v>0</v>
      </c>
      <c r="R34" s="76">
        <f>IF(E34="Роздрібна торгівля",O34*$D$9/100,0)</f>
        <v>1.3328856210275467E-16</v>
      </c>
      <c r="S34" s="76">
        <f>IF(E34="Експорт товарів і напівфабрикатів",O34*$N$6/100,0)</f>
        <v>0</v>
      </c>
      <c r="T34" s="76">
        <f>IF(E34="Експорт сировини",O34*$N$7/100,0)</f>
        <v>0</v>
      </c>
      <c r="U34" s="76">
        <f>O34+P34+Q34+R34+S34+T34</f>
        <v>3.0952566088306363E-15</v>
      </c>
      <c r="V34" s="76">
        <f>N34</f>
        <v>4.2003052658517852E-16</v>
      </c>
      <c r="W34" s="76">
        <f>H34+I34+P34+Q34+R34+S34+T34</f>
        <v>1.3328856210275467E-16</v>
      </c>
      <c r="X34" s="76">
        <f>IF(OR(F34="Кінцеве споживання",F34="Експорт"),U34,0)</f>
        <v>3.0952566088306363E-15</v>
      </c>
      <c r="Y34" s="76">
        <f>IF(F34="Перехід",U34,0)</f>
        <v>0</v>
      </c>
      <c r="Z34" s="76">
        <f>IF($I$6=0,0,X34/$I$6*100-100)</f>
        <v>-100</v>
      </c>
      <c r="AA34" s="76">
        <f>IF($I$6=0,0,AC34/$I$6*100-100)</f>
        <v>-100</v>
      </c>
      <c r="AB34" s="76"/>
      <c r="AC34" s="76">
        <f>U34</f>
        <v>3.0952566088306363E-15</v>
      </c>
      <c r="AD34" s="78" t="s">
        <v>98</v>
      </c>
      <c r="AE34" s="76">
        <f>IF($AC$41=0,0,AC34/$AC$41*100)</f>
        <v>2.5940157191531297E-17</v>
      </c>
      <c r="AF34" s="76"/>
      <c r="AG34" s="76"/>
      <c r="AH34" s="76"/>
      <c r="AI34" s="76"/>
    </row>
    <row r="35" spans="1:37" ht="24" customHeight="1" x14ac:dyDescent="0.25">
      <c r="A35" s="76">
        <v>4</v>
      </c>
      <c r="B35" s="76">
        <v>99.312585893610404</v>
      </c>
      <c r="C35" s="77" t="s">
        <v>250</v>
      </c>
      <c r="D35" s="77" t="s">
        <v>153</v>
      </c>
      <c r="E35" s="77" t="s">
        <v>164</v>
      </c>
      <c r="F35" s="77" t="s">
        <v>90</v>
      </c>
      <c r="G35" s="76">
        <f>$Y$32*B35/100</f>
        <v>833.03551980233215</v>
      </c>
      <c r="H35" s="76">
        <v>0</v>
      </c>
      <c r="I35" s="76">
        <v>0</v>
      </c>
      <c r="J35" s="76">
        <f>$D$4</f>
        <v>22.656179749411201</v>
      </c>
      <c r="K35" s="76">
        <f>G35*J35/100</f>
        <v>188.73402474285831</v>
      </c>
      <c r="L35" s="76">
        <f>G35+H35+I35+K35</f>
        <v>1021.7695445451905</v>
      </c>
      <c r="M35" s="76">
        <f>$S$6</f>
        <v>16.524030321626402</v>
      </c>
      <c r="N35" s="76">
        <f>L35*M35/100</f>
        <v>168.83750935779125</v>
      </c>
      <c r="O35" s="76">
        <f>L35+N35</f>
        <v>1190.6070539029818</v>
      </c>
      <c r="P35" s="76">
        <f>IF(OR(E35="Імпорт + оптовий продаж",E35="Оптова торгівля"),O35*$D$7/100,0)</f>
        <v>0</v>
      </c>
      <c r="Q35" s="76">
        <f>IF(E35="Виробництво",O35*$D$8/100,0)</f>
        <v>0</v>
      </c>
      <c r="R35" s="76">
        <f>IF(E35="Роздрібна торгівля",O35*$D$9/100,0)</f>
        <v>53.577317425634185</v>
      </c>
      <c r="S35" s="76">
        <f>IF(E35="Експорт товарів і напівфабрикатів",O35*$N$6/100,0)</f>
        <v>0</v>
      </c>
      <c r="T35" s="76">
        <f>IF(E35="Експорт сировини",O35*$N$7/100,0)</f>
        <v>0</v>
      </c>
      <c r="U35" s="76">
        <f>O35+P35+Q35+R35+S35+T35</f>
        <v>1244.184371328616</v>
      </c>
      <c r="V35" s="76">
        <f>N35</f>
        <v>168.83750935779125</v>
      </c>
      <c r="W35" s="76">
        <f>H35+I35+P35+Q35+R35+S35+T35</f>
        <v>53.577317425634185</v>
      </c>
      <c r="X35" s="76">
        <f>IF(OR(F35="Кінцеве споживання",F35="Експорт"),U35,0)</f>
        <v>1244.184371328616</v>
      </c>
      <c r="Y35" s="76">
        <f>IF(F35="Перехід",U35,0)</f>
        <v>0</v>
      </c>
      <c r="Z35" s="76">
        <f>IF($I$6=0,0,X35/$I$6*100-100)</f>
        <v>-78.927094634003723</v>
      </c>
      <c r="AA35" s="76">
        <f>IF($I$6=0,0,AC35/$I$6*100-100)</f>
        <v>-78.927094634003723</v>
      </c>
      <c r="AB35" s="76"/>
      <c r="AC35" s="76">
        <f>U35</f>
        <v>1244.184371328616</v>
      </c>
      <c r="AD35" s="78" t="s">
        <v>98</v>
      </c>
      <c r="AE35" s="76">
        <f>IF($AC$41=0,0,AC35/$AC$41*100)</f>
        <v>10.427031502148649</v>
      </c>
      <c r="AF35" s="76"/>
      <c r="AG35" s="76"/>
      <c r="AH35" s="76"/>
      <c r="AI35" s="76"/>
    </row>
    <row r="36" spans="1:37" ht="24" customHeight="1" x14ac:dyDescent="0.25">
      <c r="A36" s="76">
        <v>4</v>
      </c>
      <c r="B36" s="76">
        <v>6.9987229142759495E-17</v>
      </c>
      <c r="C36" s="77" t="s">
        <v>251</v>
      </c>
      <c r="D36" s="77" t="s">
        <v>153</v>
      </c>
      <c r="E36" s="77" t="s">
        <v>161</v>
      </c>
      <c r="F36" s="77" t="s">
        <v>237</v>
      </c>
      <c r="G36" s="76">
        <f>$Y$32*B36/100</f>
        <v>5.8705396988575067E-16</v>
      </c>
      <c r="H36" s="76">
        <v>0</v>
      </c>
      <c r="I36" s="76">
        <v>0</v>
      </c>
      <c r="J36" s="76">
        <f>$D$4</f>
        <v>22.656179749411201</v>
      </c>
      <c r="K36" s="76">
        <f>G36*J36/100</f>
        <v>1.3300400264336998E-16</v>
      </c>
      <c r="L36" s="76">
        <f>G36+H36+I36+K36</f>
        <v>7.2005797252912068E-16</v>
      </c>
      <c r="M36" s="76">
        <f>$S$8</f>
        <v>6.9654082687254597</v>
      </c>
      <c r="N36" s="76">
        <f>L36*M36/100</f>
        <v>5.015497755816027E-17</v>
      </c>
      <c r="O36" s="76">
        <f>L36+N36</f>
        <v>7.7021295008728096E-16</v>
      </c>
      <c r="P36" s="76">
        <f>IF(OR(E36="Імпорт + оптовий продаж",E36="Оптова торгівля"),O36*$D$7/100,0)</f>
        <v>2.6957453253054833E-17</v>
      </c>
      <c r="Q36" s="76">
        <f>IF(E36="Виробництво",O36*$D$8/100,0)</f>
        <v>0</v>
      </c>
      <c r="R36" s="76">
        <f>IF(E36="Роздрібна торгівля",O36*$D$9/100,0)</f>
        <v>0</v>
      </c>
      <c r="S36" s="76">
        <f>IF(E36="Експорт товарів і напівфабрикатів",O36*$N$6/100,0)</f>
        <v>0</v>
      </c>
      <c r="T36" s="76">
        <f>IF(E36="Експорт сировини",O36*$N$7/100,0)</f>
        <v>0</v>
      </c>
      <c r="U36" s="76">
        <f>O36+P36+Q36+R36+S36+T36</f>
        <v>7.9717040334033578E-16</v>
      </c>
      <c r="V36" s="76">
        <f>N36</f>
        <v>5.015497755816027E-17</v>
      </c>
      <c r="W36" s="76">
        <f>H36+I36+P36+Q36+R36+S36+T36</f>
        <v>2.6957453253054833E-17</v>
      </c>
      <c r="X36" s="76">
        <f>IF(OR(F36="Кінцеве споживання",F36="Експорт"),U36,0)</f>
        <v>0</v>
      </c>
      <c r="Y36" s="76">
        <f>IF(F36="Перехід",U36,0)</f>
        <v>0</v>
      </c>
      <c r="Z36" s="76">
        <f>IF($I$6=0,0,X36/$I$6*100-100)</f>
        <v>-100</v>
      </c>
      <c r="AA36" s="76">
        <f>IF($I$6=0,0,AC36/$I$6*100-100)</f>
        <v>-100</v>
      </c>
      <c r="AB36" s="76"/>
      <c r="AC36" s="76">
        <f>U36</f>
        <v>7.9717040334033578E-16</v>
      </c>
      <c r="AD36" s="78" t="s">
        <v>162</v>
      </c>
      <c r="AE36" s="76">
        <f>IF($AC$41=0,0,AC36/$AC$41*100)</f>
        <v>6.6807790708173232E-18</v>
      </c>
      <c r="AF36" s="76"/>
      <c r="AG36" s="76"/>
      <c r="AH36" s="76"/>
      <c r="AI36" s="76"/>
    </row>
    <row r="37" spans="1:37" ht="24" customHeight="1" x14ac:dyDescent="0.25">
      <c r="A37" s="76">
        <v>4</v>
      </c>
      <c r="B37" s="76">
        <v>1.7765988936237301E-16</v>
      </c>
      <c r="C37" s="77" t="s">
        <v>252</v>
      </c>
      <c r="D37" s="81" t="s">
        <v>153</v>
      </c>
      <c r="E37" s="77" t="s">
        <v>161</v>
      </c>
      <c r="F37" s="77" t="s">
        <v>237</v>
      </c>
      <c r="G37" s="76">
        <f>$Y$32*B37/100</f>
        <v>1.4902139235559979E-15</v>
      </c>
      <c r="H37" s="76">
        <v>0</v>
      </c>
      <c r="I37" s="76">
        <v>0</v>
      </c>
      <c r="J37" s="76">
        <f>$D$4</f>
        <v>22.656179749411201</v>
      </c>
      <c r="K37" s="76">
        <f>G37*J37/100</f>
        <v>3.3762554517160011E-16</v>
      </c>
      <c r="L37" s="76">
        <f>G37+H37+I37+K37</f>
        <v>1.827839468727598E-15</v>
      </c>
      <c r="M37" s="76">
        <f>$S$8</f>
        <v>6.9654082687254597</v>
      </c>
      <c r="N37" s="76">
        <f>L37*M37/100</f>
        <v>1.2731648149377962E-16</v>
      </c>
      <c r="O37" s="76">
        <f>L37+N37</f>
        <v>1.9551559502213776E-15</v>
      </c>
      <c r="P37" s="76">
        <f>IF(OR(E37="Імпорт + оптовий продаж",E37="Оптова торгівля"),O37*$D$7/100,0)</f>
        <v>6.8430458257748208E-17</v>
      </c>
      <c r="Q37" s="76">
        <f>IF(E37="Виробництво",O37*$D$8/100,0)</f>
        <v>0</v>
      </c>
      <c r="R37" s="76">
        <f>IF(E37="Роздрібна торгівля",O37*$D$9/100,0)</f>
        <v>0</v>
      </c>
      <c r="S37" s="76">
        <f>IF(E37="Експорт товарів і напівфабрикатів",O37*$N$6/100,0)</f>
        <v>0</v>
      </c>
      <c r="T37" s="76">
        <f>IF(E37="Експорт сировини",O37*$N$7/100,0)</f>
        <v>0</v>
      </c>
      <c r="U37" s="76">
        <f>O37+P37+Q37+R37+S37+T37</f>
        <v>2.0235864084791259E-15</v>
      </c>
      <c r="V37" s="76">
        <f>N37</f>
        <v>1.2731648149377962E-16</v>
      </c>
      <c r="W37" s="76">
        <f>H37+I37+P37+Q37+R37+S37+T37</f>
        <v>6.8430458257748208E-17</v>
      </c>
      <c r="X37" s="76">
        <f>IF(OR(F37="Кінцеве споживання",F37="Експорт"),U37,0)</f>
        <v>0</v>
      </c>
      <c r="Y37" s="76">
        <f>IF(F37="Перехід",U37,0)</f>
        <v>0</v>
      </c>
      <c r="Z37" s="76">
        <f>IF($I$6=0,0,X37/$I$6*100-100)</f>
        <v>-100</v>
      </c>
      <c r="AA37" s="76">
        <f>IF($I$6=0,0,AC37/$I$6*100-100)</f>
        <v>-100</v>
      </c>
      <c r="AB37" s="76"/>
      <c r="AC37" s="76">
        <f>U37</f>
        <v>2.0235864084791259E-15</v>
      </c>
      <c r="AD37" s="78" t="s">
        <v>162</v>
      </c>
      <c r="AE37" s="76">
        <f>IF($AC$41=0,0,AC37/$AC$41*100)</f>
        <v>1.6958900718227012E-17</v>
      </c>
      <c r="AF37" s="76"/>
      <c r="AG37" s="76"/>
      <c r="AH37" s="78"/>
      <c r="AI37" s="76"/>
    </row>
    <row r="38" spans="1:37" ht="24" customHeight="1" x14ac:dyDescent="0.25">
      <c r="A38" s="79">
        <v>4</v>
      </c>
      <c r="B38" s="79">
        <v>0.68741410638960598</v>
      </c>
      <c r="C38" s="80" t="s">
        <v>232</v>
      </c>
      <c r="D38" s="80" t="s">
        <v>153</v>
      </c>
      <c r="E38" s="80" t="s">
        <v>233</v>
      </c>
      <c r="F38" s="80" t="s">
        <v>233</v>
      </c>
      <c r="G38" s="79">
        <f>$Y$32*B38/100</f>
        <v>5.7660402484048472</v>
      </c>
      <c r="H38" s="79">
        <v>0</v>
      </c>
      <c r="I38" s="79">
        <v>0</v>
      </c>
      <c r="J38" s="79">
        <f>0</f>
        <v>0</v>
      </c>
      <c r="K38" s="79">
        <f>0</f>
        <v>0</v>
      </c>
      <c r="L38" s="79">
        <f>0</f>
        <v>0</v>
      </c>
      <c r="M38" s="79">
        <f>0</f>
        <v>0</v>
      </c>
      <c r="N38" s="79">
        <f>0</f>
        <v>0</v>
      </c>
      <c r="O38" s="79">
        <f>0</f>
        <v>0</v>
      </c>
      <c r="P38" s="79">
        <f>0</f>
        <v>0</v>
      </c>
      <c r="Q38" s="79">
        <f>0</f>
        <v>0</v>
      </c>
      <c r="R38" s="79">
        <f>0</f>
        <v>0</v>
      </c>
      <c r="S38" s="79">
        <f>0</f>
        <v>0</v>
      </c>
      <c r="T38" s="79">
        <f>0</f>
        <v>0</v>
      </c>
      <c r="U38" s="79">
        <f>0</f>
        <v>0</v>
      </c>
      <c r="V38" s="79">
        <f>0</f>
        <v>0</v>
      </c>
      <c r="W38" s="79">
        <f>0</f>
        <v>0</v>
      </c>
      <c r="X38" s="79">
        <f>0</f>
        <v>0</v>
      </c>
      <c r="Y38" s="79">
        <f>0</f>
        <v>0</v>
      </c>
      <c r="Z38" s="79">
        <f>0</f>
        <v>0</v>
      </c>
      <c r="AA38" s="79">
        <f>0</f>
        <v>0</v>
      </c>
      <c r="AB38" s="79"/>
      <c r="AC38" s="79">
        <f>0</f>
        <v>0</v>
      </c>
      <c r="AD38" s="79" t="s">
        <v>234</v>
      </c>
      <c r="AE38" s="79">
        <f>0</f>
        <v>0</v>
      </c>
      <c r="AF38" s="79"/>
      <c r="AG38" s="79"/>
      <c r="AH38" s="79"/>
      <c r="AI38" s="79"/>
    </row>
    <row r="39" spans="1:37" ht="24" customHeight="1" x14ac:dyDescent="0.25">
      <c r="A39" s="81">
        <v>4</v>
      </c>
      <c r="B39" s="81">
        <f>SUM(B34:B38)</f>
        <v>100.00000000000001</v>
      </c>
      <c r="C39" s="81" t="s">
        <v>99</v>
      </c>
      <c r="D39" s="81" t="s">
        <v>85</v>
      </c>
      <c r="E39" s="81" t="s">
        <v>85</v>
      </c>
      <c r="F39" s="81" t="s">
        <v>85</v>
      </c>
      <c r="G39" s="78">
        <f>SUM(G34:G38)</f>
        <v>838.80156005073695</v>
      </c>
      <c r="H39" s="78">
        <f>SUM(H34:H38)</f>
        <v>0</v>
      </c>
      <c r="I39" s="78">
        <f>SUM(I34:I38)</f>
        <v>0</v>
      </c>
      <c r="J39" s="78"/>
      <c r="K39" s="78">
        <f>SUM(K34:K38)</f>
        <v>188.73402474285831</v>
      </c>
      <c r="L39" s="78">
        <f>SUM(L34:L38)</f>
        <v>1021.7695445451905</v>
      </c>
      <c r="M39" s="78"/>
      <c r="N39" s="78">
        <f t="shared" ref="N39:Y39" si="43">SUM(N34:N38)</f>
        <v>168.83750935779125</v>
      </c>
      <c r="O39" s="78">
        <f t="shared" si="43"/>
        <v>1190.6070539029818</v>
      </c>
      <c r="P39" s="78">
        <f t="shared" si="43"/>
        <v>9.5387911510803038E-17</v>
      </c>
      <c r="Q39" s="78">
        <f t="shared" si="43"/>
        <v>0</v>
      </c>
      <c r="R39" s="78">
        <f t="shared" si="43"/>
        <v>53.577317425634185</v>
      </c>
      <c r="S39" s="78">
        <f t="shared" si="43"/>
        <v>0</v>
      </c>
      <c r="T39" s="78">
        <f t="shared" si="43"/>
        <v>0</v>
      </c>
      <c r="U39" s="78">
        <f t="shared" si="43"/>
        <v>1244.184371328616</v>
      </c>
      <c r="V39" s="78">
        <f t="shared" si="43"/>
        <v>168.83750935779125</v>
      </c>
      <c r="W39" s="78">
        <f t="shared" si="43"/>
        <v>53.577317425634185</v>
      </c>
      <c r="X39" s="78">
        <f t="shared" si="43"/>
        <v>1244.184371328616</v>
      </c>
      <c r="Y39" s="78">
        <f t="shared" si="43"/>
        <v>0</v>
      </c>
      <c r="Z39" s="78">
        <f>IF($I$6=0,0,X39/$I$6*100-100)</f>
        <v>-78.927094634003723</v>
      </c>
      <c r="AA39" s="78">
        <f>IF($I$6=0,0,AC39/$I$6*100-100)</f>
        <v>-78.927094634003723</v>
      </c>
      <c r="AB39" s="78" t="str">
        <f>IF(ABS(B39-100)&lt;=0.01,"ОК","ПОМИЛКА")</f>
        <v>ОК</v>
      </c>
      <c r="AC39" s="78">
        <f>SUM(AC34:AC38)</f>
        <v>1244.184371328616</v>
      </c>
      <c r="AD39" s="78"/>
      <c r="AE39" s="78"/>
      <c r="AF39" s="78"/>
      <c r="AG39" s="78"/>
      <c r="AH39" s="78"/>
      <c r="AI39" s="78"/>
    </row>
    <row r="40" spans="1:37" ht="24" customHeight="1" x14ac:dyDescent="0.25">
      <c r="A40" s="81"/>
      <c r="B40" s="81"/>
      <c r="C40" s="81"/>
      <c r="D40" s="81"/>
      <c r="E40" s="81"/>
      <c r="F40" s="81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</row>
    <row r="41" spans="1:37" ht="24" customHeight="1" x14ac:dyDescent="0.25">
      <c r="A41" s="80"/>
      <c r="B41" s="79">
        <f>SUM(B14,B23,B32,B39)</f>
        <v>400.00000000000006</v>
      </c>
      <c r="C41" s="80" t="s">
        <v>103</v>
      </c>
      <c r="D41" s="80"/>
      <c r="E41" s="80"/>
      <c r="F41" s="80"/>
      <c r="G41" s="79">
        <f>SUM(G11:G13,G16:G22,G25:G31,G34:G38)</f>
        <v>15269.445589732679</v>
      </c>
      <c r="H41" s="79">
        <f>SUM(H11:H13,H16:H22,H25:H31,H34:H38)</f>
        <v>98.581249999999997</v>
      </c>
      <c r="I41" s="79">
        <f>SUM(I11:I13,I16:I22,I25:I31,I34:I38)</f>
        <v>0</v>
      </c>
      <c r="J41" s="79"/>
      <c r="K41" s="79">
        <f>SUM(K11:K13,K16:K22,K25:K31,K34:K38)</f>
        <v>2003.0892358809335</v>
      </c>
      <c r="L41" s="79">
        <f>SUM(L11:L13,L16:L22,L25:L31,L34:L38)</f>
        <v>10942.919355002348</v>
      </c>
      <c r="M41" s="79"/>
      <c r="N41" s="79">
        <f t="shared" ref="N41:Y41" si="44">SUM(N11:N13,N16:N22,N25:N31,N34:N38)</f>
        <v>642.88121141205636</v>
      </c>
      <c r="O41" s="79">
        <f t="shared" si="44"/>
        <v>11585.800566414409</v>
      </c>
      <c r="P41" s="79">
        <f t="shared" si="44"/>
        <v>132.63623789887976</v>
      </c>
      <c r="Q41" s="79">
        <f t="shared" si="44"/>
        <v>132.7613394797587</v>
      </c>
      <c r="R41" s="79">
        <f t="shared" si="44"/>
        <v>53.577317425634185</v>
      </c>
      <c r="S41" s="79">
        <f t="shared" si="44"/>
        <v>14.570247782365065</v>
      </c>
      <c r="T41" s="79">
        <f t="shared" si="44"/>
        <v>12.951331362102273</v>
      </c>
      <c r="U41" s="79">
        <f t="shared" si="44"/>
        <v>11932.297040363144</v>
      </c>
      <c r="V41" s="79">
        <f t="shared" si="44"/>
        <v>642.88121141205636</v>
      </c>
      <c r="W41" s="79">
        <f t="shared" si="44"/>
        <v>445.07772394874002</v>
      </c>
      <c r="X41" s="79">
        <f t="shared" si="44"/>
        <v>2567.0414506304751</v>
      </c>
      <c r="Y41" s="79">
        <f t="shared" si="44"/>
        <v>9365.2555897326711</v>
      </c>
      <c r="Z41" s="79">
        <f>IF($I$6=0,0,X41/$I$6*100-100)</f>
        <v>-56.521699832991914</v>
      </c>
      <c r="AA41" s="79">
        <f>IF($I$6=0,0,AC41/$I$6*100-100)</f>
        <v>102.09879831718055</v>
      </c>
      <c r="AB41" s="79" t="str">
        <f>IF(ABS(K41-$I$9)&lt;=1,"ОК","ПЕРЕВІРИТИ")</f>
        <v>ОК</v>
      </c>
      <c r="AC41" s="79">
        <f>SUM(AC11:AC13,AC16:AC22,AC25:AC31,AC34:AC38)</f>
        <v>11932.297040363144</v>
      </c>
      <c r="AD41" s="79"/>
      <c r="AE41" s="79">
        <f>100</f>
        <v>100</v>
      </c>
      <c r="AF41" s="79"/>
      <c r="AG41" s="79"/>
      <c r="AH41" s="79"/>
      <c r="AI41" s="79"/>
    </row>
    <row r="43" spans="1:37" ht="48" customHeight="1" x14ac:dyDescent="0.25">
      <c r="A43" s="151" t="s">
        <v>253</v>
      </c>
      <c r="B43" s="151"/>
      <c r="C43" s="151"/>
      <c r="D43" s="151"/>
      <c r="E43" s="151"/>
      <c r="F43" s="151"/>
      <c r="G43" s="151"/>
      <c r="H43" s="151"/>
      <c r="I43" s="151"/>
      <c r="J43" s="151"/>
      <c r="K43" s="151"/>
      <c r="L43" s="151"/>
      <c r="M43" s="151"/>
      <c r="N43" s="151"/>
      <c r="O43" s="151"/>
      <c r="P43" s="151"/>
      <c r="Q43" s="151"/>
      <c r="R43" s="151"/>
      <c r="S43" s="151"/>
      <c r="T43" s="151"/>
      <c r="U43" s="151"/>
      <c r="V43" s="151"/>
      <c r="W43" s="151"/>
      <c r="X43" s="151"/>
      <c r="Y43" s="151"/>
      <c r="Z43" s="151"/>
      <c r="AA43" s="151"/>
      <c r="AB43" s="151"/>
      <c r="AC43" s="151"/>
      <c r="AD43" s="151"/>
      <c r="AE43" s="151"/>
      <c r="AF43" s="151"/>
      <c r="AG43" s="151"/>
      <c r="AH43" s="151"/>
      <c r="AI43" s="151"/>
    </row>
    <row r="44" spans="1:37" ht="28.5" customHeight="1" x14ac:dyDescent="0.2">
      <c r="A44" s="82"/>
      <c r="B44" s="82"/>
      <c r="C44" s="82"/>
      <c r="D44" s="82"/>
      <c r="E44" s="82"/>
      <c r="F44" s="82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2"/>
      <c r="AG44" s="82"/>
      <c r="AH44" s="82"/>
      <c r="AI44" s="82"/>
      <c r="AJ44" s="82"/>
      <c r="AK44" s="82"/>
    </row>
    <row r="45" spans="1:37" ht="14.25" customHeight="1" x14ac:dyDescent="0.2">
      <c r="A45" s="82"/>
      <c r="B45" s="82"/>
      <c r="C45" s="82"/>
      <c r="D45" s="82"/>
      <c r="E45" s="82"/>
      <c r="F45" s="82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2"/>
      <c r="AG45" s="82"/>
      <c r="AH45" s="82"/>
      <c r="AI45" s="82"/>
      <c r="AJ45" s="82"/>
      <c r="AK45" s="82"/>
    </row>
    <row r="46" spans="1:37" ht="28.5" customHeight="1" x14ac:dyDescent="0.2">
      <c r="A46" s="82"/>
      <c r="B46" s="82"/>
      <c r="C46" s="82"/>
      <c r="D46" s="82"/>
      <c r="E46" s="82"/>
      <c r="F46" s="82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2"/>
      <c r="AG46" s="82"/>
      <c r="AH46" s="82"/>
      <c r="AI46" s="82"/>
      <c r="AJ46" s="82"/>
      <c r="AK46" s="82"/>
    </row>
    <row r="47" spans="1:37" ht="14.25" customHeight="1" x14ac:dyDescent="0.2">
      <c r="A47" s="82"/>
      <c r="B47" s="82"/>
      <c r="C47" s="82"/>
      <c r="D47" s="82"/>
      <c r="E47" s="82"/>
      <c r="F47" s="82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2"/>
      <c r="AG47" s="82"/>
      <c r="AH47" s="82"/>
      <c r="AI47" s="82"/>
      <c r="AJ47" s="82"/>
      <c r="AK47" s="82"/>
    </row>
    <row r="48" spans="1:37" ht="14.25" customHeight="1" x14ac:dyDescent="0.2">
      <c r="A48" s="82"/>
      <c r="B48" s="82"/>
      <c r="C48" s="82"/>
      <c r="D48" s="82"/>
      <c r="E48" s="82"/>
      <c r="F48" s="82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2"/>
      <c r="AG48" s="82"/>
      <c r="AH48" s="82"/>
      <c r="AI48" s="82"/>
      <c r="AJ48" s="82"/>
      <c r="AK48" s="82"/>
    </row>
    <row r="49" spans="1:37" ht="28.5" customHeight="1" x14ac:dyDescent="0.2">
      <c r="A49" s="82"/>
      <c r="B49" s="82"/>
      <c r="C49" s="82"/>
      <c r="D49" s="82"/>
      <c r="E49" s="82"/>
      <c r="F49" s="82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2"/>
      <c r="AG49" s="82"/>
      <c r="AH49" s="82"/>
      <c r="AI49" s="82"/>
      <c r="AJ49" s="82"/>
      <c r="AK49" s="82"/>
    </row>
    <row r="50" spans="1:37" ht="28.5" customHeight="1" x14ac:dyDescent="0.2">
      <c r="A50" s="82"/>
      <c r="B50" s="82"/>
      <c r="C50" s="82"/>
      <c r="D50" s="82"/>
      <c r="E50" s="82"/>
      <c r="F50" s="82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2"/>
      <c r="AG50" s="82"/>
      <c r="AH50" s="82"/>
      <c r="AI50" s="82"/>
      <c r="AJ50" s="82"/>
      <c r="AK50" s="82"/>
    </row>
    <row r="51" spans="1:37" ht="15" customHeight="1" x14ac:dyDescent="0.2">
      <c r="A51" s="84"/>
      <c r="B51" s="84"/>
      <c r="C51" s="84"/>
      <c r="D51" s="84"/>
      <c r="E51" s="84"/>
      <c r="F51" s="84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2"/>
      <c r="AG51" s="82"/>
      <c r="AH51" s="82"/>
      <c r="AI51" s="82"/>
      <c r="AJ51" s="82"/>
      <c r="AK51" s="82"/>
    </row>
    <row r="52" spans="1:37" ht="14.25" customHeight="1" x14ac:dyDescent="0.2">
      <c r="A52" s="82"/>
      <c r="B52" s="82"/>
      <c r="C52" s="82"/>
      <c r="D52" s="82"/>
      <c r="E52" s="82"/>
      <c r="F52" s="82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2"/>
      <c r="AG52" s="82"/>
      <c r="AH52" s="82"/>
      <c r="AI52" s="82"/>
      <c r="AJ52" s="82"/>
      <c r="AK52" s="82"/>
    </row>
    <row r="53" spans="1:37" ht="28.5" customHeight="1" x14ac:dyDescent="0.2">
      <c r="A53" s="82"/>
      <c r="B53" s="82"/>
      <c r="C53" s="82"/>
      <c r="D53" s="82"/>
      <c r="E53" s="82"/>
      <c r="F53" s="82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2"/>
      <c r="AG53" s="82"/>
      <c r="AH53" s="82"/>
      <c r="AI53" s="82"/>
      <c r="AJ53" s="82"/>
      <c r="AK53" s="82"/>
    </row>
    <row r="54" spans="1:37" ht="28.5" customHeight="1" x14ac:dyDescent="0.2">
      <c r="A54" s="82"/>
      <c r="B54" s="82"/>
      <c r="C54" s="82"/>
      <c r="D54" s="82"/>
      <c r="E54" s="82"/>
      <c r="F54" s="82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2"/>
      <c r="AG54" s="82"/>
      <c r="AH54" s="82"/>
      <c r="AI54" s="82"/>
      <c r="AJ54" s="82"/>
      <c r="AK54" s="82"/>
    </row>
    <row r="55" spans="1:37" ht="14.25" customHeight="1" x14ac:dyDescent="0.2">
      <c r="A55" s="82"/>
      <c r="B55" s="82"/>
      <c r="C55" s="82"/>
      <c r="D55" s="82"/>
      <c r="E55" s="82"/>
      <c r="F55" s="82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2"/>
      <c r="AG55" s="82"/>
      <c r="AH55" s="82"/>
      <c r="AI55" s="82"/>
      <c r="AJ55" s="82"/>
      <c r="AK55" s="82"/>
    </row>
    <row r="56" spans="1:37" ht="28.5" customHeight="1" x14ac:dyDescent="0.2">
      <c r="A56" s="82"/>
      <c r="B56" s="82"/>
      <c r="C56" s="82"/>
      <c r="D56" s="82"/>
      <c r="E56" s="82"/>
      <c r="F56" s="82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2"/>
      <c r="AG56" s="82"/>
      <c r="AH56" s="82"/>
      <c r="AI56" s="82"/>
      <c r="AJ56" s="82"/>
      <c r="AK56" s="82"/>
    </row>
    <row r="57" spans="1:37" ht="28.5" customHeight="1" x14ac:dyDescent="0.2">
      <c r="A57" s="82"/>
      <c r="B57" s="82"/>
      <c r="C57" s="82"/>
      <c r="D57" s="82"/>
      <c r="E57" s="82"/>
      <c r="F57" s="82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2"/>
      <c r="AG57" s="82"/>
      <c r="AH57" s="82"/>
      <c r="AI57" s="82"/>
      <c r="AJ57" s="82"/>
      <c r="AK57" s="82"/>
    </row>
    <row r="58" spans="1:37" ht="15" customHeight="1" x14ac:dyDescent="0.2">
      <c r="A58" s="84"/>
      <c r="B58" s="84"/>
      <c r="C58" s="84"/>
      <c r="D58" s="84"/>
      <c r="E58" s="84"/>
      <c r="F58" s="84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2"/>
      <c r="AG58" s="82"/>
      <c r="AH58" s="82"/>
      <c r="AI58" s="82"/>
      <c r="AJ58" s="82"/>
      <c r="AK58" s="82"/>
    </row>
    <row r="59" spans="1:37" ht="14.25" customHeight="1" x14ac:dyDescent="0.2">
      <c r="A59" s="82"/>
      <c r="B59" s="82"/>
      <c r="C59" s="82"/>
      <c r="D59" s="82"/>
      <c r="E59" s="82"/>
      <c r="F59" s="82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2"/>
      <c r="AG59" s="82"/>
      <c r="AH59" s="82"/>
      <c r="AI59" s="82"/>
      <c r="AJ59" s="82"/>
      <c r="AK59" s="82"/>
    </row>
    <row r="60" spans="1:37" ht="15" customHeight="1" x14ac:dyDescent="0.2">
      <c r="A60" s="84"/>
      <c r="B60" s="84"/>
      <c r="C60" s="84"/>
      <c r="D60" s="84"/>
      <c r="E60" s="84"/>
      <c r="F60" s="84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2"/>
      <c r="AG60" s="82"/>
      <c r="AH60" s="82"/>
      <c r="AI60" s="82"/>
      <c r="AJ60" s="82"/>
      <c r="AK60" s="82"/>
    </row>
    <row r="61" spans="1:37" ht="14.25" customHeight="1" x14ac:dyDescent="0.2">
      <c r="A61" s="82"/>
      <c r="B61" s="82"/>
      <c r="C61" s="82"/>
      <c r="D61" s="82"/>
      <c r="E61" s="82"/>
      <c r="F61" s="82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2"/>
      <c r="AG61" s="82"/>
      <c r="AH61" s="82"/>
      <c r="AI61" s="82"/>
      <c r="AJ61" s="82"/>
      <c r="AK61" s="82"/>
    </row>
    <row r="62" spans="1:37" ht="54.75" customHeight="1" x14ac:dyDescent="0.25">
      <c r="A62" s="86"/>
      <c r="AF62" s="82"/>
      <c r="AG62" s="82"/>
      <c r="AH62" s="82"/>
      <c r="AI62" s="82"/>
      <c r="AJ62" s="82"/>
      <c r="AK62" s="82"/>
    </row>
    <row r="63" spans="1:37" ht="14.25" customHeight="1" x14ac:dyDescent="0.2">
      <c r="A63" s="82"/>
      <c r="B63" s="82"/>
      <c r="C63" s="82"/>
      <c r="D63" s="82"/>
      <c r="E63" s="82"/>
      <c r="F63" s="82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2"/>
      <c r="AG63" s="82"/>
      <c r="AH63" s="82"/>
      <c r="AI63" s="82"/>
      <c r="AJ63" s="82"/>
      <c r="AK63" s="82"/>
    </row>
    <row r="64" spans="1:37" ht="14.25" customHeight="1" x14ac:dyDescent="0.2">
      <c r="A64" s="82"/>
      <c r="B64" s="82"/>
      <c r="C64" s="82"/>
      <c r="D64" s="82"/>
      <c r="E64" s="82"/>
      <c r="F64" s="82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2"/>
      <c r="AG64" s="82"/>
      <c r="AH64" s="82"/>
      <c r="AI64" s="82"/>
      <c r="AJ64" s="82"/>
      <c r="AK64" s="82"/>
    </row>
  </sheetData>
  <sheetProtection algorithmName="SHA-512" hashValue="EfLAyWNfXkDM19v/5WRcgoNd8GM90M5KAJwXe5JWsMzyrTUB6O2Eod+B3+nKOqgzvzDudE98WIAgauakvSv6KQ==" saltValue="qTPQasodsUihEUc1KwL6xQ==" spinCount="100000" sheet="1" objects="1" scenarios="1"/>
  <mergeCells count="66">
    <mergeCell ref="A43:AI43"/>
    <mergeCell ref="O8:P8"/>
    <mergeCell ref="Q8:R8"/>
    <mergeCell ref="U8:V8"/>
    <mergeCell ref="X8:Y8"/>
    <mergeCell ref="A9:C9"/>
    <mergeCell ref="E9:F9"/>
    <mergeCell ref="G9:H9"/>
    <mergeCell ref="J9:K9"/>
    <mergeCell ref="L9:M9"/>
    <mergeCell ref="O9:P9"/>
    <mergeCell ref="Q9:R9"/>
    <mergeCell ref="U9:V9"/>
    <mergeCell ref="X9:Y9"/>
    <mergeCell ref="A8:C8"/>
    <mergeCell ref="E8:F8"/>
    <mergeCell ref="G8:H8"/>
    <mergeCell ref="J8:K8"/>
    <mergeCell ref="L8:M8"/>
    <mergeCell ref="O6:P6"/>
    <mergeCell ref="Q6:R6"/>
    <mergeCell ref="U6:V6"/>
    <mergeCell ref="X6:Y6"/>
    <mergeCell ref="A7:C7"/>
    <mergeCell ref="E7:F7"/>
    <mergeCell ref="G7:H7"/>
    <mergeCell ref="J7:K7"/>
    <mergeCell ref="L7:M7"/>
    <mergeCell ref="O7:P7"/>
    <mergeCell ref="Q7:R7"/>
    <mergeCell ref="U7:V7"/>
    <mergeCell ref="X7:Y7"/>
    <mergeCell ref="A6:C6"/>
    <mergeCell ref="E6:F6"/>
    <mergeCell ref="G6:H6"/>
    <mergeCell ref="J6:K6"/>
    <mergeCell ref="L6:M6"/>
    <mergeCell ref="O5:P5"/>
    <mergeCell ref="Q5:R5"/>
    <mergeCell ref="U5:V5"/>
    <mergeCell ref="X5:Y5"/>
    <mergeCell ref="A4:C4"/>
    <mergeCell ref="E4:F4"/>
    <mergeCell ref="G4:H4"/>
    <mergeCell ref="J4:K4"/>
    <mergeCell ref="L4:M4"/>
    <mergeCell ref="O4:P4"/>
    <mergeCell ref="A5:C5"/>
    <mergeCell ref="E5:F5"/>
    <mergeCell ref="G5:H5"/>
    <mergeCell ref="J5:K5"/>
    <mergeCell ref="L5:M5"/>
    <mergeCell ref="Q4:R4"/>
    <mergeCell ref="U4:V4"/>
    <mergeCell ref="A1:AI1"/>
    <mergeCell ref="A2:AI2"/>
    <mergeCell ref="A3:C3"/>
    <mergeCell ref="E3:F3"/>
    <mergeCell ref="G3:H3"/>
    <mergeCell ref="J3:K3"/>
    <mergeCell ref="L3:M3"/>
    <mergeCell ref="O3:P3"/>
    <mergeCell ref="Q3:R3"/>
    <mergeCell ref="U3:V3"/>
    <mergeCell ref="X3:Y3"/>
    <mergeCell ref="X4:Y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F766E"/>
  </sheetPr>
  <dimension ref="A1:AH57"/>
  <sheetViews>
    <sheetView showGridLines="0" workbookViewId="0">
      <pane xSplit="2" ySplit="12" topLeftCell="M22" activePane="bottomRight" state="frozen"/>
      <selection pane="topRight"/>
      <selection pane="bottomLeft"/>
      <selection pane="bottomRight" activeCell="L7" sqref="L7:O7"/>
    </sheetView>
  </sheetViews>
  <sheetFormatPr defaultRowHeight="12.75" x14ac:dyDescent="0.2"/>
  <cols>
    <col min="1" max="1" width="6" customWidth="1"/>
    <col min="2" max="2" width="26" customWidth="1"/>
    <col min="3" max="3" width="20" customWidth="1"/>
    <col min="4" max="4" width="19" customWidth="1"/>
    <col min="5" max="5" width="12" customWidth="1"/>
    <col min="6" max="6" width="17" customWidth="1"/>
    <col min="7" max="7" width="12" customWidth="1"/>
    <col min="8" max="8" width="15" customWidth="1"/>
    <col min="9" max="11" width="16" customWidth="1"/>
    <col min="12" max="12" width="12" customWidth="1"/>
    <col min="13" max="13" width="18" customWidth="1"/>
    <col min="14" max="14" width="12" customWidth="1"/>
    <col min="15" max="15" width="16" customWidth="1"/>
    <col min="16" max="16" width="18" customWidth="1"/>
    <col min="17" max="17" width="16" customWidth="1"/>
    <col min="18" max="18" width="18" customWidth="1"/>
    <col min="19" max="19" width="16" customWidth="1"/>
    <col min="20" max="20" width="12" customWidth="1"/>
    <col min="21" max="22" width="16" customWidth="1"/>
    <col min="23" max="26" width="18" customWidth="1"/>
    <col min="27" max="27" width="20" customWidth="1"/>
    <col min="28" max="30" width="18" customWidth="1"/>
    <col min="31" max="31" width="14" customWidth="1"/>
    <col min="32" max="32" width="3" customWidth="1"/>
    <col min="33" max="34" width="12" customWidth="1"/>
  </cols>
  <sheetData>
    <row r="1" spans="1:34" ht="27.95" customHeight="1" x14ac:dyDescent="0.2">
      <c r="A1" s="156" t="s">
        <v>254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</row>
    <row r="2" spans="1:34" ht="27.95" customHeight="1" x14ac:dyDescent="0.2">
      <c r="A2" s="185" t="s">
        <v>255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7"/>
      <c r="X2" s="187"/>
      <c r="Y2" s="187"/>
      <c r="Z2" s="187"/>
      <c r="AA2" s="187"/>
      <c r="AB2" s="187"/>
      <c r="AC2" s="187"/>
      <c r="AD2" s="187"/>
      <c r="AE2" s="187"/>
      <c r="AF2" s="187"/>
      <c r="AG2" s="187"/>
      <c r="AH2" s="187"/>
    </row>
    <row r="3" spans="1:34" ht="26.1" customHeight="1" x14ac:dyDescent="0.2">
      <c r="A3" s="158" t="s">
        <v>2</v>
      </c>
      <c r="B3" s="159"/>
      <c r="C3" s="88" t="s">
        <v>3</v>
      </c>
      <c r="D3" s="157" t="s">
        <v>256</v>
      </c>
      <c r="E3" s="157"/>
      <c r="F3" s="157" t="s">
        <v>2</v>
      </c>
      <c r="G3" s="157"/>
      <c r="H3" s="157"/>
      <c r="I3" s="88" t="s">
        <v>3</v>
      </c>
      <c r="J3" s="157" t="s">
        <v>256</v>
      </c>
      <c r="K3" s="157"/>
      <c r="L3" s="157" t="s">
        <v>257</v>
      </c>
      <c r="M3" s="157"/>
      <c r="N3" s="157"/>
      <c r="O3" s="157"/>
      <c r="P3" s="157" t="s">
        <v>3</v>
      </c>
      <c r="Q3" s="157"/>
      <c r="R3" s="157" t="s">
        <v>258</v>
      </c>
      <c r="S3" s="157"/>
      <c r="T3" s="175" t="s">
        <v>259</v>
      </c>
      <c r="U3" s="176"/>
      <c r="V3" s="176"/>
      <c r="W3" s="183"/>
      <c r="X3" s="183"/>
      <c r="Y3" s="183"/>
      <c r="Z3" s="183"/>
      <c r="AA3" s="183"/>
      <c r="AB3" s="183"/>
      <c r="AC3" s="183"/>
      <c r="AD3" s="183"/>
      <c r="AE3" s="183"/>
      <c r="AF3" s="183"/>
      <c r="AG3" s="183"/>
    </row>
    <row r="4" spans="1:34" ht="38.1" customHeight="1" x14ac:dyDescent="0.2">
      <c r="A4" s="169" t="s">
        <v>260</v>
      </c>
      <c r="B4" s="170"/>
      <c r="C4" s="90">
        <v>20</v>
      </c>
      <c r="D4" s="161" t="s">
        <v>261</v>
      </c>
      <c r="E4" s="161"/>
      <c r="F4" s="161" t="s">
        <v>262</v>
      </c>
      <c r="G4" s="161"/>
      <c r="H4" s="161"/>
      <c r="I4" s="90">
        <v>20</v>
      </c>
      <c r="J4" s="161" t="s">
        <v>263</v>
      </c>
      <c r="K4" s="161"/>
      <c r="L4" s="161" t="s">
        <v>264</v>
      </c>
      <c r="M4" s="161"/>
      <c r="N4" s="161"/>
      <c r="O4" s="161"/>
      <c r="P4" s="160">
        <f>M34</f>
        <v>2878.6825881604818</v>
      </c>
      <c r="Q4" s="160"/>
      <c r="R4" s="161" t="s">
        <v>265</v>
      </c>
      <c r="S4" s="161"/>
      <c r="T4" s="177" t="s">
        <v>266</v>
      </c>
      <c r="U4" s="178"/>
      <c r="V4" s="178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</row>
    <row r="5" spans="1:34" ht="38.1" customHeight="1" x14ac:dyDescent="0.2">
      <c r="A5" s="169" t="s">
        <v>267</v>
      </c>
      <c r="B5" s="170"/>
      <c r="C5" s="90">
        <v>20</v>
      </c>
      <c r="D5" s="161" t="s">
        <v>268</v>
      </c>
      <c r="E5" s="161"/>
      <c r="F5" s="161" t="s">
        <v>269</v>
      </c>
      <c r="G5" s="161"/>
      <c r="H5" s="161"/>
      <c r="I5" s="90">
        <v>20</v>
      </c>
      <c r="J5" s="161" t="s">
        <v>270</v>
      </c>
      <c r="K5" s="161"/>
      <c r="L5" s="161" t="s">
        <v>271</v>
      </c>
      <c r="M5" s="161"/>
      <c r="N5" s="161"/>
      <c r="O5" s="161"/>
      <c r="P5" s="160">
        <f>Y34</f>
        <v>1416.311833374956</v>
      </c>
      <c r="Q5" s="160"/>
      <c r="R5" s="161" t="s">
        <v>265</v>
      </c>
      <c r="S5" s="161"/>
      <c r="T5" s="179"/>
      <c r="U5" s="180"/>
      <c r="V5" s="180"/>
      <c r="W5" s="184"/>
      <c r="X5" s="184"/>
      <c r="Y5" s="184"/>
      <c r="Z5" s="184"/>
      <c r="AA5" s="184"/>
      <c r="AB5" s="184"/>
      <c r="AC5" s="184"/>
      <c r="AD5" s="184"/>
      <c r="AE5" s="184"/>
      <c r="AF5" s="184"/>
      <c r="AG5" s="184"/>
    </row>
    <row r="6" spans="1:34" ht="38.1" customHeight="1" x14ac:dyDescent="0.2">
      <c r="A6" s="169" t="s">
        <v>19</v>
      </c>
      <c r="B6" s="170"/>
      <c r="C6" s="90">
        <v>18</v>
      </c>
      <c r="D6" s="161" t="s">
        <v>272</v>
      </c>
      <c r="E6" s="161"/>
      <c r="F6" s="161" t="s">
        <v>273</v>
      </c>
      <c r="G6" s="161"/>
      <c r="H6" s="161"/>
      <c r="I6" s="90">
        <v>10</v>
      </c>
      <c r="J6" s="161" t="s">
        <v>274</v>
      </c>
      <c r="K6" s="161"/>
      <c r="L6" s="161" t="s">
        <v>275</v>
      </c>
      <c r="M6" s="161"/>
      <c r="N6" s="161"/>
      <c r="O6" s="161"/>
      <c r="P6" s="160">
        <f>O34</f>
        <v>1727.2095528962889</v>
      </c>
      <c r="Q6" s="160"/>
      <c r="R6" s="161" t="s">
        <v>265</v>
      </c>
      <c r="S6" s="161"/>
      <c r="T6" s="179" t="s">
        <v>276</v>
      </c>
      <c r="U6" s="180"/>
      <c r="V6" s="180"/>
      <c r="W6" s="184"/>
      <c r="X6" s="184"/>
      <c r="Y6" s="184"/>
      <c r="Z6" s="184"/>
      <c r="AA6" s="184"/>
      <c r="AB6" s="184"/>
      <c r="AC6" s="184"/>
      <c r="AD6" s="184"/>
      <c r="AE6" s="184"/>
      <c r="AF6" s="184"/>
      <c r="AG6" s="184"/>
    </row>
    <row r="7" spans="1:34" ht="38.1" customHeight="1" x14ac:dyDescent="0.2">
      <c r="A7" s="169" t="s">
        <v>277</v>
      </c>
      <c r="B7" s="170"/>
      <c r="C7" s="90">
        <v>3000</v>
      </c>
      <c r="D7" s="161" t="s">
        <v>278</v>
      </c>
      <c r="E7" s="161"/>
      <c r="F7" s="161" t="s">
        <v>279</v>
      </c>
      <c r="G7" s="161"/>
      <c r="H7" s="161"/>
      <c r="I7" s="89">
        <f>C7</f>
        <v>3000</v>
      </c>
      <c r="J7" s="161" t="s">
        <v>280</v>
      </c>
      <c r="K7" s="161"/>
      <c r="L7" s="161" t="s">
        <v>281</v>
      </c>
      <c r="M7" s="161"/>
      <c r="N7" s="161"/>
      <c r="O7" s="161"/>
      <c r="P7" s="160">
        <f>X34</f>
        <v>1059.8184282109537</v>
      </c>
      <c r="Q7" s="160"/>
      <c r="R7" s="161" t="s">
        <v>265</v>
      </c>
      <c r="S7" s="161"/>
      <c r="T7" s="116"/>
      <c r="U7" s="117"/>
      <c r="V7" s="117"/>
      <c r="W7" s="184"/>
      <c r="X7" s="184"/>
      <c r="Y7" s="184"/>
      <c r="Z7" s="184"/>
      <c r="AA7" s="184"/>
      <c r="AB7" s="184"/>
      <c r="AC7" s="184"/>
      <c r="AD7" s="184"/>
      <c r="AE7" s="184"/>
      <c r="AF7" s="184"/>
      <c r="AG7" s="184"/>
    </row>
    <row r="8" spans="1:34" ht="38.1" customHeight="1" x14ac:dyDescent="0.2">
      <c r="A8" s="169" t="s">
        <v>282</v>
      </c>
      <c r="B8" s="170"/>
      <c r="C8" s="90">
        <v>0</v>
      </c>
      <c r="D8" s="161" t="s">
        <v>283</v>
      </c>
      <c r="E8" s="161"/>
      <c r="F8" s="161" t="s">
        <v>284</v>
      </c>
      <c r="G8" s="161"/>
      <c r="H8" s="161"/>
      <c r="I8" s="91">
        <v>6</v>
      </c>
      <c r="J8" s="161" t="s">
        <v>285</v>
      </c>
      <c r="K8" s="161"/>
      <c r="L8" s="161" t="s">
        <v>286</v>
      </c>
      <c r="M8" s="161"/>
      <c r="N8" s="161"/>
      <c r="O8" s="161"/>
      <c r="P8" s="160">
        <f>Z34</f>
        <v>1370.7161477322859</v>
      </c>
      <c r="Q8" s="160"/>
      <c r="R8" s="161" t="s">
        <v>265</v>
      </c>
      <c r="S8" s="161"/>
      <c r="T8" s="181" t="s">
        <v>287</v>
      </c>
      <c r="U8" s="182"/>
      <c r="V8" s="182"/>
      <c r="W8" s="184"/>
      <c r="X8" s="184"/>
      <c r="Y8" s="184"/>
      <c r="Z8" s="184"/>
      <c r="AA8" s="184"/>
      <c r="AB8" s="184"/>
      <c r="AC8" s="184"/>
      <c r="AD8" s="184"/>
      <c r="AE8" s="184"/>
      <c r="AF8" s="184"/>
      <c r="AG8" s="184"/>
    </row>
    <row r="9" spans="1:34" ht="6.95" customHeight="1" x14ac:dyDescent="0.2">
      <c r="A9" s="87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</row>
    <row r="10" spans="1:34" ht="6.95" customHeight="1" x14ac:dyDescent="0.2">
      <c r="A10" s="87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</row>
    <row r="11" spans="1:34" ht="6.95" customHeight="1" x14ac:dyDescent="0.2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</row>
    <row r="12" spans="1:34" ht="60" customHeight="1" x14ac:dyDescent="0.2">
      <c r="A12" s="92" t="s">
        <v>40</v>
      </c>
      <c r="B12" s="92" t="s">
        <v>42</v>
      </c>
      <c r="C12" s="92" t="s">
        <v>45</v>
      </c>
      <c r="D12" s="92" t="s">
        <v>44</v>
      </c>
      <c r="E12" s="92" t="s">
        <v>41</v>
      </c>
      <c r="F12" s="92" t="s">
        <v>46</v>
      </c>
      <c r="G12" s="92" t="s">
        <v>288</v>
      </c>
      <c r="H12" s="92" t="s">
        <v>48</v>
      </c>
      <c r="I12" s="92" t="s">
        <v>289</v>
      </c>
      <c r="J12" s="92" t="s">
        <v>50</v>
      </c>
      <c r="K12" s="92" t="s">
        <v>290</v>
      </c>
      <c r="L12" s="92" t="s">
        <v>291</v>
      </c>
      <c r="M12" s="92" t="s">
        <v>264</v>
      </c>
      <c r="N12" s="92" t="s">
        <v>273</v>
      </c>
      <c r="O12" s="92" t="s">
        <v>292</v>
      </c>
      <c r="P12" s="92" t="s">
        <v>293</v>
      </c>
      <c r="Q12" s="92" t="s">
        <v>294</v>
      </c>
      <c r="R12" s="92" t="s">
        <v>295</v>
      </c>
      <c r="S12" s="92" t="s">
        <v>59</v>
      </c>
      <c r="T12" s="92" t="s">
        <v>296</v>
      </c>
      <c r="U12" s="92" t="s">
        <v>60</v>
      </c>
      <c r="V12" s="92" t="s">
        <v>61</v>
      </c>
      <c r="W12" s="92" t="s">
        <v>62</v>
      </c>
      <c r="X12" s="92" t="s">
        <v>281</v>
      </c>
      <c r="Y12" s="92" t="s">
        <v>297</v>
      </c>
      <c r="Z12" s="92" t="s">
        <v>286</v>
      </c>
      <c r="AA12" s="92" t="s">
        <v>65</v>
      </c>
      <c r="AB12" s="92" t="s">
        <v>298</v>
      </c>
      <c r="AC12" s="92" t="s">
        <v>66</v>
      </c>
      <c r="AD12" s="92" t="s">
        <v>299</v>
      </c>
      <c r="AE12" s="92" t="s">
        <v>300</v>
      </c>
      <c r="AF12" s="87"/>
      <c r="AG12" s="87"/>
      <c r="AH12" s="87"/>
    </row>
    <row r="13" spans="1:34" ht="27.95" customHeight="1" x14ac:dyDescent="0.2">
      <c r="A13" s="94">
        <v>1</v>
      </c>
      <c r="B13" s="93" t="s">
        <v>301</v>
      </c>
      <c r="C13" s="93" t="s">
        <v>77</v>
      </c>
      <c r="D13" s="93" t="s">
        <v>75</v>
      </c>
      <c r="E13" s="95">
        <v>33.333333333299997</v>
      </c>
      <c r="F13" s="95">
        <f>$C$7*E13/100</f>
        <v>999.9999999989999</v>
      </c>
      <c r="G13" s="95">
        <f>IF($D13="Експорт",$C$8,$C$5)</f>
        <v>20</v>
      </c>
      <c r="H13" s="95">
        <f>IF($C13="Імпорт",$F13*$I$4/100,0)</f>
        <v>199.9999999998</v>
      </c>
      <c r="I13" s="95">
        <f>IF($C13="Зовнішній ПДВ",$F13*$I$5/100,0)</f>
        <v>0</v>
      </c>
      <c r="J13" s="95">
        <f>0</f>
        <v>0</v>
      </c>
      <c r="K13" s="95">
        <f>H13+I13+J13</f>
        <v>199.9999999998</v>
      </c>
      <c r="L13" s="95">
        <f>$C$4</f>
        <v>20</v>
      </c>
      <c r="M13" s="95">
        <f>F13*L13/100</f>
        <v>199.9999999998</v>
      </c>
      <c r="N13" s="95">
        <f>$I$6</f>
        <v>10</v>
      </c>
      <c r="O13" s="95">
        <f>(F13+M13)*N13/100</f>
        <v>119.99999999987999</v>
      </c>
      <c r="P13" s="95">
        <f>F13+M13+O13</f>
        <v>1319.9999999986799</v>
      </c>
      <c r="Q13" s="95">
        <f>P13*G13/100</f>
        <v>263.99999999973596</v>
      </c>
      <c r="R13" s="95">
        <f>P13+Q13</f>
        <v>1583.9999999984159</v>
      </c>
      <c r="S13" s="95">
        <f>P13-M13-F13</f>
        <v>119.99999999988006</v>
      </c>
      <c r="T13" s="95">
        <f>$C$6</f>
        <v>18</v>
      </c>
      <c r="U13" s="95">
        <f>S13*T13/100</f>
        <v>21.599999999978408</v>
      </c>
      <c r="V13" s="95">
        <f>S13-U13</f>
        <v>98.399999999901652</v>
      </c>
      <c r="W13" s="95">
        <f>Q13-K13</f>
        <v>63.999999999935966</v>
      </c>
      <c r="X13" s="95">
        <f>H13+W13</f>
        <v>263.99999999973596</v>
      </c>
      <c r="Y13" s="95">
        <f>V13</f>
        <v>98.399999999901652</v>
      </c>
      <c r="Z13" s="95">
        <f>X13+U13</f>
        <v>285.59999999971438</v>
      </c>
      <c r="AA13" s="95">
        <f>IF($D13&lt;&gt;"Перехід",R13,0)</f>
        <v>0</v>
      </c>
      <c r="AB13" s="95" t="str">
        <f>IF(AA13=0,"",(AA13)/$I$7*100-100)</f>
        <v/>
      </c>
      <c r="AC13" s="95">
        <f t="shared" ref="AC13:AD15" si="0">IF($D13="Перехід",P13,0)</f>
        <v>1319.9999999986799</v>
      </c>
      <c r="AD13" s="95">
        <f t="shared" si="0"/>
        <v>263.99999999973596</v>
      </c>
      <c r="AE13" s="94" t="str">
        <f>""</f>
        <v/>
      </c>
      <c r="AF13" s="87"/>
      <c r="AG13" s="87"/>
      <c r="AH13" s="87"/>
    </row>
    <row r="14" spans="1:34" ht="27.95" customHeight="1" x14ac:dyDescent="0.2">
      <c r="A14" s="94">
        <v>1</v>
      </c>
      <c r="B14" s="93" t="s">
        <v>302</v>
      </c>
      <c r="C14" s="93" t="s">
        <v>77</v>
      </c>
      <c r="D14" s="93" t="s">
        <v>75</v>
      </c>
      <c r="E14" s="95">
        <v>33.333333333299997</v>
      </c>
      <c r="F14" s="95">
        <f>$C$7*E14/100</f>
        <v>999.9999999989999</v>
      </c>
      <c r="G14" s="95">
        <f>IF($D14="Експорт",$C$8,$C$5)</f>
        <v>20</v>
      </c>
      <c r="H14" s="95">
        <f>IF($C14="Імпорт",$F14*$I$4/100,0)</f>
        <v>199.9999999998</v>
      </c>
      <c r="I14" s="95">
        <f>IF($C14="Зовнішній ПДВ",$F14*$I$5/100,0)</f>
        <v>0</v>
      </c>
      <c r="J14" s="95">
        <f>0</f>
        <v>0</v>
      </c>
      <c r="K14" s="95">
        <f>H14+I14+J14</f>
        <v>199.9999999998</v>
      </c>
      <c r="L14" s="95">
        <f>$C$4</f>
        <v>20</v>
      </c>
      <c r="M14" s="95">
        <f>F14*L14/100</f>
        <v>199.9999999998</v>
      </c>
      <c r="N14" s="95">
        <f>$I$6</f>
        <v>10</v>
      </c>
      <c r="O14" s="95">
        <f>(F14+M14)*N14/100</f>
        <v>119.99999999987999</v>
      </c>
      <c r="P14" s="95">
        <f>F14+M14+O14</f>
        <v>1319.9999999986799</v>
      </c>
      <c r="Q14" s="95">
        <f>P14*G14/100</f>
        <v>263.99999999973596</v>
      </c>
      <c r="R14" s="95">
        <f>P14+Q14</f>
        <v>1583.9999999984159</v>
      </c>
      <c r="S14" s="95">
        <f>P14-M14-F14</f>
        <v>119.99999999988006</v>
      </c>
      <c r="T14" s="95">
        <f>$C$6</f>
        <v>18</v>
      </c>
      <c r="U14" s="95">
        <f>S14*T14/100</f>
        <v>21.599999999978408</v>
      </c>
      <c r="V14" s="95">
        <f>S14-U14</f>
        <v>98.399999999901652</v>
      </c>
      <c r="W14" s="95">
        <f>Q14-K14</f>
        <v>63.999999999935966</v>
      </c>
      <c r="X14" s="95">
        <f>H14+W14</f>
        <v>263.99999999973596</v>
      </c>
      <c r="Y14" s="95">
        <f>V14</f>
        <v>98.399999999901652</v>
      </c>
      <c r="Z14" s="95">
        <f>X14+U14</f>
        <v>285.59999999971438</v>
      </c>
      <c r="AA14" s="95">
        <f>IF($D14&lt;&gt;"Перехід",R14,0)</f>
        <v>0</v>
      </c>
      <c r="AB14" s="95" t="str">
        <f>IF(AA14=0,"",(AA13+AA14)/$I$7*100-100)</f>
        <v/>
      </c>
      <c r="AC14" s="95">
        <f t="shared" si="0"/>
        <v>1319.9999999986799</v>
      </c>
      <c r="AD14" s="95">
        <f t="shared" si="0"/>
        <v>263.99999999973596</v>
      </c>
      <c r="AE14" s="94" t="str">
        <f>""</f>
        <v/>
      </c>
      <c r="AF14" s="87"/>
      <c r="AG14" s="87"/>
      <c r="AH14" s="87"/>
    </row>
    <row r="15" spans="1:34" ht="27.95" customHeight="1" x14ac:dyDescent="0.2">
      <c r="A15" s="94">
        <v>1</v>
      </c>
      <c r="B15" s="93" t="s">
        <v>81</v>
      </c>
      <c r="C15" s="93" t="s">
        <v>303</v>
      </c>
      <c r="D15" s="93" t="s">
        <v>75</v>
      </c>
      <c r="E15" s="95">
        <v>33.333333333399999</v>
      </c>
      <c r="F15" s="95">
        <f>$C$7*E15/100</f>
        <v>1000.000000002</v>
      </c>
      <c r="G15" s="95">
        <f>IF($D15="Експорт",$C$8,$C$5)</f>
        <v>20</v>
      </c>
      <c r="H15" s="95">
        <f>IF($C15="Імпорт",$F15*$I$4/100,0)</f>
        <v>0</v>
      </c>
      <c r="I15" s="95">
        <f>IF($C15="Зовнішній ПДВ",$F15*$I$5/100,0)</f>
        <v>200.00000000040001</v>
      </c>
      <c r="J15" s="95">
        <f>0</f>
        <v>0</v>
      </c>
      <c r="K15" s="95">
        <f>H15+I15+J15</f>
        <v>200.00000000040001</v>
      </c>
      <c r="L15" s="95">
        <f>$C$4</f>
        <v>20</v>
      </c>
      <c r="M15" s="95">
        <f>F15*L15/100</f>
        <v>200.00000000040001</v>
      </c>
      <c r="N15" s="95">
        <f>$I$6</f>
        <v>10</v>
      </c>
      <c r="O15" s="95">
        <f>(F15+M15)*N15/100</f>
        <v>120.00000000023999</v>
      </c>
      <c r="P15" s="95">
        <f>F15+M15+O15</f>
        <v>1320.0000000026398</v>
      </c>
      <c r="Q15" s="95">
        <f>P15*G15/100</f>
        <v>264.00000000052796</v>
      </c>
      <c r="R15" s="95">
        <f>P15+Q15</f>
        <v>1584.0000000031678</v>
      </c>
      <c r="S15" s="95">
        <f>P15-M15-F15</f>
        <v>120.00000000023988</v>
      </c>
      <c r="T15" s="95">
        <f>$C$6</f>
        <v>18</v>
      </c>
      <c r="U15" s="95">
        <f>S15*T15/100</f>
        <v>21.600000000043178</v>
      </c>
      <c r="V15" s="95">
        <f>S15-U15</f>
        <v>98.400000000196698</v>
      </c>
      <c r="W15" s="95">
        <f>Q15-K15</f>
        <v>64.000000000127955</v>
      </c>
      <c r="X15" s="95">
        <f>H15+W15</f>
        <v>64.000000000127955</v>
      </c>
      <c r="Y15" s="95">
        <f>V15</f>
        <v>98.400000000196698</v>
      </c>
      <c r="Z15" s="95">
        <f>X15+U15</f>
        <v>85.600000000171136</v>
      </c>
      <c r="AA15" s="95">
        <f>IF($D15&lt;&gt;"Перехід",R15,0)</f>
        <v>0</v>
      </c>
      <c r="AB15" s="95" t="str">
        <f>IF(AA15=0,"",(AA13+AA14+AA15)/$I$7*100-100)</f>
        <v/>
      </c>
      <c r="AC15" s="95">
        <f t="shared" si="0"/>
        <v>1320.0000000026398</v>
      </c>
      <c r="AD15" s="95">
        <f t="shared" si="0"/>
        <v>264.00000000052796</v>
      </c>
      <c r="AE15" s="94" t="str">
        <f>""</f>
        <v/>
      </c>
      <c r="AF15" s="87"/>
      <c r="AG15" s="87"/>
      <c r="AH15" s="87"/>
    </row>
    <row r="16" spans="1:34" ht="24" customHeight="1" x14ac:dyDescent="0.2">
      <c r="A16" s="96">
        <v>1</v>
      </c>
      <c r="B16" s="97" t="s">
        <v>304</v>
      </c>
      <c r="C16" s="97" t="s">
        <v>85</v>
      </c>
      <c r="D16" s="97" t="s">
        <v>85</v>
      </c>
      <c r="E16" s="98">
        <f>SUM(E13:E15)</f>
        <v>100</v>
      </c>
      <c r="F16" s="98">
        <f>SUM(F13:F15)</f>
        <v>3000</v>
      </c>
      <c r="G16" s="98"/>
      <c r="H16" s="98">
        <f>SUM(H13:H15)</f>
        <v>399.99999999959999</v>
      </c>
      <c r="I16" s="98">
        <f>SUM(I13:I15)</f>
        <v>200.00000000040001</v>
      </c>
      <c r="J16" s="98">
        <f>SUM(J13:J15)</f>
        <v>0</v>
      </c>
      <c r="K16" s="98">
        <f>SUM(K13:K15)</f>
        <v>600</v>
      </c>
      <c r="L16" s="98"/>
      <c r="M16" s="98">
        <f>SUM(M13:M15)</f>
        <v>600</v>
      </c>
      <c r="N16" s="98"/>
      <c r="O16" s="98">
        <f>SUM(O13:O15)</f>
        <v>360</v>
      </c>
      <c r="P16" s="98">
        <f>SUM(P13:P15)</f>
        <v>3959.9999999999995</v>
      </c>
      <c r="Q16" s="98">
        <f>SUM(Q13:Q15)</f>
        <v>791.99999999999989</v>
      </c>
      <c r="R16" s="98">
        <f>SUM(R13:R15)</f>
        <v>4752</v>
      </c>
      <c r="S16" s="98">
        <f>SUM(S13:S15)</f>
        <v>360</v>
      </c>
      <c r="T16" s="98"/>
      <c r="U16" s="98">
        <f t="shared" ref="U16:AA16" si="1">SUM(U13:U15)</f>
        <v>64.8</v>
      </c>
      <c r="V16" s="98">
        <f t="shared" si="1"/>
        <v>295.2</v>
      </c>
      <c r="W16" s="98">
        <f t="shared" si="1"/>
        <v>191.99999999999989</v>
      </c>
      <c r="X16" s="98">
        <f t="shared" si="1"/>
        <v>591.99999999959982</v>
      </c>
      <c r="Y16" s="98">
        <f t="shared" si="1"/>
        <v>295.2</v>
      </c>
      <c r="Z16" s="98">
        <f t="shared" si="1"/>
        <v>656.79999999959989</v>
      </c>
      <c r="AA16" s="98">
        <f t="shared" si="1"/>
        <v>0</v>
      </c>
      <c r="AB16" s="98" t="str">
        <f>IF((AA13+AA14+AA15)=0,"",(AA13+AA14+AA15)/$I$7*100-100)</f>
        <v/>
      </c>
      <c r="AC16" s="98">
        <f>SUM(AC13:AC15)</f>
        <v>3959.9999999999995</v>
      </c>
      <c r="AD16" s="98">
        <f>SUM(AD13:AD15)</f>
        <v>791.99999999999989</v>
      </c>
      <c r="AE16" s="96" t="str">
        <f>IF(ABS(SUM(E13:E15)-100)&lt;0.0001,"ОК","ПОМИЛКА: сума часток = "&amp;ROUND(SUM(E13:E15),2)&amp;"%")</f>
        <v>ОК</v>
      </c>
      <c r="AF16" s="87"/>
      <c r="AG16" s="87"/>
      <c r="AH16" s="87"/>
    </row>
    <row r="17" spans="1:34" ht="27.95" customHeight="1" x14ac:dyDescent="0.2">
      <c r="A17" s="94">
        <v>2</v>
      </c>
      <c r="B17" s="93" t="s">
        <v>163</v>
      </c>
      <c r="C17" s="93" t="s">
        <v>305</v>
      </c>
      <c r="D17" s="93" t="s">
        <v>90</v>
      </c>
      <c r="E17" s="95">
        <v>25</v>
      </c>
      <c r="F17" s="95">
        <f>AC16*E17/100</f>
        <v>989.99999999999989</v>
      </c>
      <c r="G17" s="95">
        <f>IF($D17="Експорт",$C$8,$C$5)</f>
        <v>20</v>
      </c>
      <c r="H17" s="95">
        <f>IF($C17="Імпорт",$F17*$I$4/100,0)</f>
        <v>0</v>
      </c>
      <c r="I17" s="95">
        <f>IF($C17="Зовнішній ПДВ",$F17*$I$5/100,0)</f>
        <v>0</v>
      </c>
      <c r="J17" s="95">
        <f>AD16*E17/100</f>
        <v>197.99999999999997</v>
      </c>
      <c r="K17" s="95">
        <f>H17+I17+J17</f>
        <v>197.99999999999997</v>
      </c>
      <c r="L17" s="95">
        <f>$C$4</f>
        <v>20</v>
      </c>
      <c r="M17" s="95">
        <f>F17*L17/100</f>
        <v>197.99999999999997</v>
      </c>
      <c r="N17" s="95">
        <f>$I$6</f>
        <v>10</v>
      </c>
      <c r="O17" s="95">
        <f>(F17+M17)*N17/100</f>
        <v>118.79999999999998</v>
      </c>
      <c r="P17" s="95">
        <f>F17+M17+O17</f>
        <v>1306.7999999999997</v>
      </c>
      <c r="Q17" s="95">
        <f>P17*G17/100</f>
        <v>261.3599999999999</v>
      </c>
      <c r="R17" s="95">
        <f>P17+Q17</f>
        <v>1568.1599999999996</v>
      </c>
      <c r="S17" s="95">
        <f>P17-M17-F17</f>
        <v>118.79999999999984</v>
      </c>
      <c r="T17" s="95">
        <f>$C$6</f>
        <v>18</v>
      </c>
      <c r="U17" s="95">
        <f>S17*T17/100</f>
        <v>21.383999999999968</v>
      </c>
      <c r="V17" s="95">
        <f>S17-U17</f>
        <v>97.415999999999869</v>
      </c>
      <c r="W17" s="95">
        <f>Q17-K17</f>
        <v>63.359999999999928</v>
      </c>
      <c r="X17" s="95">
        <f>H17+W17</f>
        <v>63.359999999999928</v>
      </c>
      <c r="Y17" s="95">
        <f>V17</f>
        <v>97.415999999999869</v>
      </c>
      <c r="Z17" s="95">
        <f>X17+U17</f>
        <v>84.7439999999999</v>
      </c>
      <c r="AA17" s="95">
        <f>IF($D17&lt;&gt;"Перехід",R17,0)</f>
        <v>1568.1599999999996</v>
      </c>
      <c r="AB17" s="95">
        <f>IF(AA17=0,"",(AA13+AA14+AA15+AA17)/$I$7*100-100)</f>
        <v>-47.728000000000016</v>
      </c>
      <c r="AC17" s="95">
        <f t="shared" ref="AC17:AD20" si="2">IF($D17="Перехід",P17,0)</f>
        <v>0</v>
      </c>
      <c r="AD17" s="95">
        <f t="shared" si="2"/>
        <v>0</v>
      </c>
      <c r="AE17" s="94" t="str">
        <f>""</f>
        <v/>
      </c>
      <c r="AF17" s="87"/>
      <c r="AG17" s="87"/>
      <c r="AH17" s="87"/>
    </row>
    <row r="18" spans="1:34" ht="27.95" customHeight="1" x14ac:dyDescent="0.2">
      <c r="A18" s="94">
        <v>2</v>
      </c>
      <c r="B18" s="93" t="s">
        <v>81</v>
      </c>
      <c r="C18" s="93" t="s">
        <v>305</v>
      </c>
      <c r="D18" s="93" t="s">
        <v>75</v>
      </c>
      <c r="E18" s="95">
        <v>25</v>
      </c>
      <c r="F18" s="95">
        <f>AC16*E18/100</f>
        <v>989.99999999999989</v>
      </c>
      <c r="G18" s="95">
        <f>IF($D18="Експорт",$C$8,$C$5)</f>
        <v>20</v>
      </c>
      <c r="H18" s="95">
        <f>IF($C18="Імпорт",$F18*$I$4/100,0)</f>
        <v>0</v>
      </c>
      <c r="I18" s="95">
        <f>IF($C18="Зовнішній ПДВ",$F18*$I$5/100,0)</f>
        <v>0</v>
      </c>
      <c r="J18" s="95">
        <f>AD16*E18/100</f>
        <v>197.99999999999997</v>
      </c>
      <c r="K18" s="95">
        <f>H18+I18+J18</f>
        <v>197.99999999999997</v>
      </c>
      <c r="L18" s="95">
        <f>$C$4</f>
        <v>20</v>
      </c>
      <c r="M18" s="95">
        <f>F18*L18/100</f>
        <v>197.99999999999997</v>
      </c>
      <c r="N18" s="95">
        <f>$I$6</f>
        <v>10</v>
      </c>
      <c r="O18" s="95">
        <f>(F18+M18)*N18/100</f>
        <v>118.79999999999998</v>
      </c>
      <c r="P18" s="95">
        <f>F18+M18+O18</f>
        <v>1306.7999999999997</v>
      </c>
      <c r="Q18" s="95">
        <f>P18*G18/100</f>
        <v>261.3599999999999</v>
      </c>
      <c r="R18" s="95">
        <f>P18+Q18</f>
        <v>1568.1599999999996</v>
      </c>
      <c r="S18" s="95">
        <f>P18-M18-F18</f>
        <v>118.79999999999984</v>
      </c>
      <c r="T18" s="95">
        <f>$C$6</f>
        <v>18</v>
      </c>
      <c r="U18" s="95">
        <f>S18*T18/100</f>
        <v>21.383999999999968</v>
      </c>
      <c r="V18" s="95">
        <f>S18-U18</f>
        <v>97.415999999999869</v>
      </c>
      <c r="W18" s="95">
        <f>Q18-K18</f>
        <v>63.359999999999928</v>
      </c>
      <c r="X18" s="95">
        <f>H18+W18</f>
        <v>63.359999999999928</v>
      </c>
      <c r="Y18" s="95">
        <f>V18</f>
        <v>97.415999999999869</v>
      </c>
      <c r="Z18" s="95">
        <f>X18+U18</f>
        <v>84.7439999999999</v>
      </c>
      <c r="AA18" s="95">
        <f>IF($D18&lt;&gt;"Перехід",R18,0)</f>
        <v>0</v>
      </c>
      <c r="AB18" s="95" t="str">
        <f>IF(AA18=0,"",(AA13+AA14+AA15+AA17+AA18)/$I$7*100-100)</f>
        <v/>
      </c>
      <c r="AC18" s="95">
        <f t="shared" si="2"/>
        <v>1306.7999999999997</v>
      </c>
      <c r="AD18" s="95">
        <f t="shared" si="2"/>
        <v>261.3599999999999</v>
      </c>
      <c r="AE18" s="94" t="str">
        <f>""</f>
        <v/>
      </c>
      <c r="AF18" s="87"/>
      <c r="AG18" s="87"/>
      <c r="AH18" s="87"/>
    </row>
    <row r="19" spans="1:34" ht="27.95" customHeight="1" x14ac:dyDescent="0.2">
      <c r="A19" s="94">
        <v>2</v>
      </c>
      <c r="B19" s="93" t="s">
        <v>160</v>
      </c>
      <c r="C19" s="93" t="s">
        <v>305</v>
      </c>
      <c r="D19" s="93" t="s">
        <v>75</v>
      </c>
      <c r="E19" s="95">
        <v>25</v>
      </c>
      <c r="F19" s="95">
        <f>AC16*E19/100</f>
        <v>989.99999999999989</v>
      </c>
      <c r="G19" s="95">
        <f>IF($D19="Експорт",$C$8,$C$5)</f>
        <v>20</v>
      </c>
      <c r="H19" s="95">
        <f>IF($C19="Імпорт",$F19*$I$4/100,0)</f>
        <v>0</v>
      </c>
      <c r="I19" s="95">
        <f>IF($C19="Зовнішній ПДВ",$F19*$I$5/100,0)</f>
        <v>0</v>
      </c>
      <c r="J19" s="95">
        <f>AD16*E19/100</f>
        <v>197.99999999999997</v>
      </c>
      <c r="K19" s="95">
        <f>H19+I19+J19</f>
        <v>197.99999999999997</v>
      </c>
      <c r="L19" s="95">
        <f>$C$4</f>
        <v>20</v>
      </c>
      <c r="M19" s="95">
        <f>F19*L19/100</f>
        <v>197.99999999999997</v>
      </c>
      <c r="N19" s="95">
        <f>$I$6</f>
        <v>10</v>
      </c>
      <c r="O19" s="95">
        <f>(F19+M19)*N19/100</f>
        <v>118.79999999999998</v>
      </c>
      <c r="P19" s="95">
        <f>F19+M19+O19</f>
        <v>1306.7999999999997</v>
      </c>
      <c r="Q19" s="95">
        <f>P19*G19/100</f>
        <v>261.3599999999999</v>
      </c>
      <c r="R19" s="95">
        <f>P19+Q19</f>
        <v>1568.1599999999996</v>
      </c>
      <c r="S19" s="95">
        <f>P19-M19-F19</f>
        <v>118.79999999999984</v>
      </c>
      <c r="T19" s="95">
        <f>$C$6</f>
        <v>18</v>
      </c>
      <c r="U19" s="95">
        <f>S19*T19/100</f>
        <v>21.383999999999968</v>
      </c>
      <c r="V19" s="95">
        <f>S19-U19</f>
        <v>97.415999999999869</v>
      </c>
      <c r="W19" s="95">
        <f>Q19-K19</f>
        <v>63.359999999999928</v>
      </c>
      <c r="X19" s="95">
        <f>H19+W19</f>
        <v>63.359999999999928</v>
      </c>
      <c r="Y19" s="95">
        <f>V19</f>
        <v>97.415999999999869</v>
      </c>
      <c r="Z19" s="95">
        <f>X19+U19</f>
        <v>84.7439999999999</v>
      </c>
      <c r="AA19" s="95">
        <f>IF($D19&lt;&gt;"Перехід",R19,0)</f>
        <v>0</v>
      </c>
      <c r="AB19" s="95" t="str">
        <f>IF(AA19=0,"",(AA13+AA14+AA15+AA17+AA18+AA19)/$I$7*100-100)</f>
        <v/>
      </c>
      <c r="AC19" s="95">
        <f t="shared" si="2"/>
        <v>1306.7999999999997</v>
      </c>
      <c r="AD19" s="95">
        <f t="shared" si="2"/>
        <v>261.3599999999999</v>
      </c>
      <c r="AE19" s="94" t="str">
        <f>""</f>
        <v/>
      </c>
      <c r="AF19" s="87"/>
      <c r="AG19" s="87"/>
      <c r="AH19" s="87"/>
    </row>
    <row r="20" spans="1:34" ht="27.95" customHeight="1" x14ac:dyDescent="0.2">
      <c r="A20" s="94">
        <v>2</v>
      </c>
      <c r="B20" s="93" t="s">
        <v>306</v>
      </c>
      <c r="C20" s="93" t="s">
        <v>305</v>
      </c>
      <c r="D20" s="93" t="s">
        <v>87</v>
      </c>
      <c r="E20" s="95">
        <v>25</v>
      </c>
      <c r="F20" s="95">
        <f>AC16*E20/100</f>
        <v>989.99999999999989</v>
      </c>
      <c r="G20" s="95">
        <f>IF($D20="Експорт",$C$8,$C$5)</f>
        <v>0</v>
      </c>
      <c r="H20" s="95">
        <f>IF($C20="Імпорт",$F20*$I$4/100,0)</f>
        <v>0</v>
      </c>
      <c r="I20" s="95">
        <f>IF($C20="Зовнішній ПДВ",$F20*$I$5/100,0)</f>
        <v>0</v>
      </c>
      <c r="J20" s="95">
        <f>AD16*E20/100</f>
        <v>197.99999999999997</v>
      </c>
      <c r="K20" s="95">
        <f>H20+I20+J20</f>
        <v>197.99999999999997</v>
      </c>
      <c r="L20" s="95">
        <f>$C$4</f>
        <v>20</v>
      </c>
      <c r="M20" s="95">
        <f>F20*L20/100</f>
        <v>197.99999999999997</v>
      </c>
      <c r="N20" s="95">
        <f>$I$6</f>
        <v>10</v>
      </c>
      <c r="O20" s="95">
        <f>(F20+M20)*N20/100</f>
        <v>118.79999999999998</v>
      </c>
      <c r="P20" s="95">
        <f>F20+M20+O20</f>
        <v>1306.7999999999997</v>
      </c>
      <c r="Q20" s="95">
        <f>P20*G20/100</f>
        <v>0</v>
      </c>
      <c r="R20" s="95">
        <f>P20+Q20</f>
        <v>1306.7999999999997</v>
      </c>
      <c r="S20" s="95">
        <f>P20-M20-F20</f>
        <v>118.79999999999984</v>
      </c>
      <c r="T20" s="95">
        <f>$C$6</f>
        <v>18</v>
      </c>
      <c r="U20" s="95">
        <f>S20*T20/100</f>
        <v>21.383999999999968</v>
      </c>
      <c r="V20" s="95">
        <f>S20-U20</f>
        <v>97.415999999999869</v>
      </c>
      <c r="W20" s="95">
        <f>Q20-K20</f>
        <v>-197.99999999999997</v>
      </c>
      <c r="X20" s="95">
        <f>H20+W20</f>
        <v>-197.99999999999997</v>
      </c>
      <c r="Y20" s="95">
        <f>V20</f>
        <v>97.415999999999869</v>
      </c>
      <c r="Z20" s="95">
        <f>X20+U20</f>
        <v>-176.61600000000001</v>
      </c>
      <c r="AA20" s="95">
        <f>IF($D20&lt;&gt;"Перехід",R20,0)</f>
        <v>1306.7999999999997</v>
      </c>
      <c r="AB20" s="95">
        <f>IF(AA20=0,"",(AA13+AA14+AA15+AA17+AA18+AA19+AA20)/$I$7*100-100)</f>
        <v>-4.1680000000000206</v>
      </c>
      <c r="AC20" s="95">
        <f t="shared" si="2"/>
        <v>0</v>
      </c>
      <c r="AD20" s="95">
        <f t="shared" si="2"/>
        <v>0</v>
      </c>
      <c r="AE20" s="94" t="str">
        <f>""</f>
        <v/>
      </c>
      <c r="AF20" s="87"/>
      <c r="AG20" s="87"/>
      <c r="AH20" s="87"/>
    </row>
    <row r="21" spans="1:34" ht="24" customHeight="1" x14ac:dyDescent="0.2">
      <c r="A21" s="96">
        <v>2</v>
      </c>
      <c r="B21" s="97" t="s">
        <v>307</v>
      </c>
      <c r="C21" s="97" t="s">
        <v>85</v>
      </c>
      <c r="D21" s="97" t="s">
        <v>85</v>
      </c>
      <c r="E21" s="98">
        <f>SUM(E17:E20)</f>
        <v>100</v>
      </c>
      <c r="F21" s="98">
        <f>SUM(F17:F20)</f>
        <v>3959.9999999999995</v>
      </c>
      <c r="G21" s="98"/>
      <c r="H21" s="98">
        <f>SUM(H17:H20)</f>
        <v>0</v>
      </c>
      <c r="I21" s="98">
        <f>SUM(I17:I20)</f>
        <v>0</v>
      </c>
      <c r="J21" s="98">
        <f>SUM(J17:J20)</f>
        <v>791.99999999999989</v>
      </c>
      <c r="K21" s="98">
        <f>SUM(K17:K20)</f>
        <v>791.99999999999989</v>
      </c>
      <c r="L21" s="98"/>
      <c r="M21" s="98">
        <f>SUM(M17:M20)</f>
        <v>791.99999999999989</v>
      </c>
      <c r="N21" s="98"/>
      <c r="O21" s="98">
        <f>SUM(O17:O20)</f>
        <v>475.19999999999993</v>
      </c>
      <c r="P21" s="98">
        <f>SUM(P17:P20)</f>
        <v>5227.1999999999989</v>
      </c>
      <c r="Q21" s="98">
        <f>SUM(Q17:Q20)</f>
        <v>784.0799999999997</v>
      </c>
      <c r="R21" s="98">
        <f>SUM(R17:R20)</f>
        <v>6011.2799999999988</v>
      </c>
      <c r="S21" s="98">
        <f>SUM(S17:S20)</f>
        <v>475.19999999999936</v>
      </c>
      <c r="T21" s="98"/>
      <c r="U21" s="98">
        <f t="shared" ref="U21:AA21" si="3">SUM(U17:U20)</f>
        <v>85.535999999999873</v>
      </c>
      <c r="V21" s="98">
        <f t="shared" si="3"/>
        <v>389.66399999999948</v>
      </c>
      <c r="W21" s="98">
        <f t="shared" si="3"/>
        <v>-7.9200000000001864</v>
      </c>
      <c r="X21" s="98">
        <f t="shared" si="3"/>
        <v>-7.9200000000001864</v>
      </c>
      <c r="Y21" s="98">
        <f t="shared" si="3"/>
        <v>389.66399999999948</v>
      </c>
      <c r="Z21" s="98">
        <f t="shared" si="3"/>
        <v>77.615999999999673</v>
      </c>
      <c r="AA21" s="98">
        <f t="shared" si="3"/>
        <v>2874.9599999999991</v>
      </c>
      <c r="AB21" s="98">
        <f>IF((AA13+AA14+AA15+AA17+AA18+AA19+AA20)=0,"",(AA13+AA14+AA15+AA17+AA18+AA19+AA20)/$I$7*100-100)</f>
        <v>-4.1680000000000206</v>
      </c>
      <c r="AC21" s="98">
        <f>SUM(AC17:AC20)</f>
        <v>2613.5999999999995</v>
      </c>
      <c r="AD21" s="98">
        <f>SUM(AD17:AD20)</f>
        <v>522.7199999999998</v>
      </c>
      <c r="AE21" s="96" t="str">
        <f>IF(ABS(SUM(E17:E20)-100)&lt;0.0001,"ОК","ПОМИЛКА: сума часток = "&amp;ROUND(SUM(E17:E20),2)&amp;"%")</f>
        <v>ОК</v>
      </c>
      <c r="AF21" s="87"/>
      <c r="AG21" s="87"/>
      <c r="AH21" s="87"/>
    </row>
    <row r="22" spans="1:34" ht="27.95" customHeight="1" x14ac:dyDescent="0.2">
      <c r="A22" s="94">
        <v>3</v>
      </c>
      <c r="B22" s="93" t="s">
        <v>163</v>
      </c>
      <c r="C22" s="93" t="s">
        <v>305</v>
      </c>
      <c r="D22" s="93" t="s">
        <v>90</v>
      </c>
      <c r="E22" s="95">
        <v>33.333333333299997</v>
      </c>
      <c r="F22" s="95">
        <f>AC21*E22/100</f>
        <v>871.19999999912852</v>
      </c>
      <c r="G22" s="95">
        <f>IF($D22="Експорт",$C$8,$C$5)</f>
        <v>20</v>
      </c>
      <c r="H22" s="95">
        <f>IF($C22="Імпорт",$F22*$I$4/100,0)</f>
        <v>0</v>
      </c>
      <c r="I22" s="95">
        <f>IF($C22="Зовнішній ПДВ",$F22*$I$5/100,0)</f>
        <v>0</v>
      </c>
      <c r="J22" s="95">
        <f>AD21*E22/100</f>
        <v>174.23999999982567</v>
      </c>
      <c r="K22" s="95">
        <f>H22+I22+J22</f>
        <v>174.23999999982567</v>
      </c>
      <c r="L22" s="95">
        <f>$C$4</f>
        <v>20</v>
      </c>
      <c r="M22" s="95">
        <f>F22*L22/100</f>
        <v>174.2399999998257</v>
      </c>
      <c r="N22" s="95">
        <f>$I$6</f>
        <v>10</v>
      </c>
      <c r="O22" s="95">
        <f>(F22+M22)*N22/100</f>
        <v>104.54399999989542</v>
      </c>
      <c r="P22" s="95">
        <f>F22+M22+O22</f>
        <v>1149.9839999988496</v>
      </c>
      <c r="Q22" s="95">
        <f>P22*G22/100</f>
        <v>229.99679999976993</v>
      </c>
      <c r="R22" s="95">
        <f>P22+Q22</f>
        <v>1379.9807999986197</v>
      </c>
      <c r="S22" s="95">
        <f>P22-M22-F22</f>
        <v>104.54399999989539</v>
      </c>
      <c r="T22" s="95">
        <f>$C$6</f>
        <v>18</v>
      </c>
      <c r="U22" s="95">
        <f>S22*T22/100</f>
        <v>18.817919999981171</v>
      </c>
      <c r="V22" s="95">
        <f>S22-U22</f>
        <v>85.726079999914219</v>
      </c>
      <c r="W22" s="95">
        <f>Q22-K22</f>
        <v>55.756799999944263</v>
      </c>
      <c r="X22" s="95">
        <f>H22+W22</f>
        <v>55.756799999944263</v>
      </c>
      <c r="Y22" s="95">
        <f>V22</f>
        <v>85.726079999914219</v>
      </c>
      <c r="Z22" s="95">
        <f>X22+U22</f>
        <v>74.574719999925435</v>
      </c>
      <c r="AA22" s="95">
        <f>IF($D22&lt;&gt;"Перехід",R22,0)</f>
        <v>1379.9807999986197</v>
      </c>
      <c r="AB22" s="95">
        <f>IF(AA22=0,"",(AA13+AA14+AA15+AA17+AA18+AA19+AA20+AA22)/$I$7*100-100)</f>
        <v>41.831359999953946</v>
      </c>
      <c r="AC22" s="95">
        <f t="shared" ref="AC22:AD24" si="4">IF($D22="Перехід",P22,0)</f>
        <v>0</v>
      </c>
      <c r="AD22" s="95">
        <f t="shared" si="4"/>
        <v>0</v>
      </c>
      <c r="AE22" s="94" t="str">
        <f>""</f>
        <v/>
      </c>
      <c r="AF22" s="87"/>
      <c r="AG22" s="87"/>
      <c r="AH22" s="87"/>
    </row>
    <row r="23" spans="1:34" ht="27.95" customHeight="1" x14ac:dyDescent="0.2">
      <c r="A23" s="94">
        <v>3</v>
      </c>
      <c r="B23" s="93" t="s">
        <v>81</v>
      </c>
      <c r="C23" s="93" t="s">
        <v>305</v>
      </c>
      <c r="D23" s="93" t="s">
        <v>75</v>
      </c>
      <c r="E23" s="95">
        <v>33.333333333299997</v>
      </c>
      <c r="F23" s="95">
        <f>AC21*E23/100</f>
        <v>871.19999999912852</v>
      </c>
      <c r="G23" s="95">
        <f>IF($D23="Експорт",$C$8,$C$5)</f>
        <v>20</v>
      </c>
      <c r="H23" s="95">
        <f>IF($C23="Імпорт",$F23*$I$4/100,0)</f>
        <v>0</v>
      </c>
      <c r="I23" s="95">
        <f>IF($C23="Зовнішній ПДВ",$F23*$I$5/100,0)</f>
        <v>0</v>
      </c>
      <c r="J23" s="95">
        <f>AD21*E23/100</f>
        <v>174.23999999982567</v>
      </c>
      <c r="K23" s="95">
        <f>H23+I23+J23</f>
        <v>174.23999999982567</v>
      </c>
      <c r="L23" s="95">
        <f>$C$4</f>
        <v>20</v>
      </c>
      <c r="M23" s="95">
        <f>F23*L23/100</f>
        <v>174.2399999998257</v>
      </c>
      <c r="N23" s="95">
        <f>$I$6</f>
        <v>10</v>
      </c>
      <c r="O23" s="95">
        <f>(F23+M23)*N23/100</f>
        <v>104.54399999989542</v>
      </c>
      <c r="P23" s="95">
        <f>F23+M23+O23</f>
        <v>1149.9839999988496</v>
      </c>
      <c r="Q23" s="95">
        <f>P23*G23/100</f>
        <v>229.99679999976993</v>
      </c>
      <c r="R23" s="95">
        <f>P23+Q23</f>
        <v>1379.9807999986197</v>
      </c>
      <c r="S23" s="95">
        <f>P23-M23-F23</f>
        <v>104.54399999989539</v>
      </c>
      <c r="T23" s="95">
        <f>$C$6</f>
        <v>18</v>
      </c>
      <c r="U23" s="95">
        <f>S23*T23/100</f>
        <v>18.817919999981171</v>
      </c>
      <c r="V23" s="95">
        <f>S23-U23</f>
        <v>85.726079999914219</v>
      </c>
      <c r="W23" s="95">
        <f>Q23-K23</f>
        <v>55.756799999944263</v>
      </c>
      <c r="X23" s="95">
        <f>H23+W23</f>
        <v>55.756799999944263</v>
      </c>
      <c r="Y23" s="95">
        <f>V23</f>
        <v>85.726079999914219</v>
      </c>
      <c r="Z23" s="95">
        <f>X23+U23</f>
        <v>74.574719999925435</v>
      </c>
      <c r="AA23" s="95">
        <f>IF($D23&lt;&gt;"Перехід",R23,0)</f>
        <v>0</v>
      </c>
      <c r="AB23" s="95" t="str">
        <f>IF(AA23=0,"",(AA13+AA14+AA15+AA17+AA18+AA19+AA20+AA22+AA23)/$I$7*100-100)</f>
        <v/>
      </c>
      <c r="AC23" s="95">
        <f t="shared" si="4"/>
        <v>1149.9839999988496</v>
      </c>
      <c r="AD23" s="95">
        <f t="shared" si="4"/>
        <v>229.99679999976993</v>
      </c>
      <c r="AE23" s="94" t="str">
        <f>""</f>
        <v/>
      </c>
      <c r="AF23" s="87"/>
      <c r="AG23" s="87"/>
      <c r="AH23" s="87"/>
    </row>
    <row r="24" spans="1:34" ht="27.95" customHeight="1" x14ac:dyDescent="0.2">
      <c r="A24" s="94">
        <v>3</v>
      </c>
      <c r="B24" s="93" t="s">
        <v>160</v>
      </c>
      <c r="C24" s="93" t="s">
        <v>305</v>
      </c>
      <c r="D24" s="93" t="s">
        <v>75</v>
      </c>
      <c r="E24" s="95">
        <v>33.333333333399999</v>
      </c>
      <c r="F24" s="95">
        <f>AC21*E24/100</f>
        <v>871.20000000174218</v>
      </c>
      <c r="G24" s="95">
        <f>IF($D24="Експорт",$C$8,$C$5)</f>
        <v>20</v>
      </c>
      <c r="H24" s="95">
        <f>IF($C24="Імпорт",$F24*$I$4/100,0)</f>
        <v>0</v>
      </c>
      <c r="I24" s="95">
        <f>IF($C24="Зовнішній ПДВ",$F24*$I$5/100,0)</f>
        <v>0</v>
      </c>
      <c r="J24" s="95">
        <f>AD21*E24/100</f>
        <v>174.2400000003484</v>
      </c>
      <c r="K24" s="95">
        <f>H24+I24+J24</f>
        <v>174.2400000003484</v>
      </c>
      <c r="L24" s="95">
        <f>$C$4</f>
        <v>20</v>
      </c>
      <c r="M24" s="95">
        <f>F24*L24/100</f>
        <v>174.24000000034846</v>
      </c>
      <c r="N24" s="95">
        <f>$I$6</f>
        <v>10</v>
      </c>
      <c r="O24" s="95">
        <f>(F24+M24)*N24/100</f>
        <v>104.54400000020905</v>
      </c>
      <c r="P24" s="95">
        <f>F24+M24+O24</f>
        <v>1149.9840000022996</v>
      </c>
      <c r="Q24" s="95">
        <f>P24*G24/100</f>
        <v>229.99680000045993</v>
      </c>
      <c r="R24" s="95">
        <f>P24+Q24</f>
        <v>1379.9808000027595</v>
      </c>
      <c r="S24" s="95">
        <f>P24-M24-F24</f>
        <v>104.54400000020894</v>
      </c>
      <c r="T24" s="95">
        <f>$C$6</f>
        <v>18</v>
      </c>
      <c r="U24" s="95">
        <f>S24*T24/100</f>
        <v>18.81792000003761</v>
      </c>
      <c r="V24" s="95">
        <f>S24-U24</f>
        <v>85.726080000171322</v>
      </c>
      <c r="W24" s="95">
        <f>Q24-K24</f>
        <v>55.756800000111525</v>
      </c>
      <c r="X24" s="95">
        <f>H24+W24</f>
        <v>55.756800000111525</v>
      </c>
      <c r="Y24" s="95">
        <f>V24</f>
        <v>85.726080000171322</v>
      </c>
      <c r="Z24" s="95">
        <f>X24+U24</f>
        <v>74.574720000149142</v>
      </c>
      <c r="AA24" s="95">
        <f>IF($D24&lt;&gt;"Перехід",R24,0)</f>
        <v>0</v>
      </c>
      <c r="AB24" s="95" t="str">
        <f>IF(AA24=0,"",(AA13+AA14+AA15+AA17+AA18+AA19+AA20+AA22+AA23+AA24)/$I$7*100-100)</f>
        <v/>
      </c>
      <c r="AC24" s="95">
        <f t="shared" si="4"/>
        <v>1149.9840000022996</v>
      </c>
      <c r="AD24" s="95">
        <f t="shared" si="4"/>
        <v>229.99680000045993</v>
      </c>
      <c r="AE24" s="94" t="str">
        <f>""</f>
        <v/>
      </c>
      <c r="AF24" s="87"/>
      <c r="AG24" s="87"/>
      <c r="AH24" s="87"/>
    </row>
    <row r="25" spans="1:34" ht="24" customHeight="1" x14ac:dyDescent="0.2">
      <c r="A25" s="96">
        <v>3</v>
      </c>
      <c r="B25" s="97" t="s">
        <v>308</v>
      </c>
      <c r="C25" s="97" t="s">
        <v>85</v>
      </c>
      <c r="D25" s="97" t="s">
        <v>85</v>
      </c>
      <c r="E25" s="98">
        <f>SUM(E22:E24)</f>
        <v>100</v>
      </c>
      <c r="F25" s="98">
        <f>SUM(F22:F24)</f>
        <v>2613.5999999999995</v>
      </c>
      <c r="G25" s="98"/>
      <c r="H25" s="98">
        <f>SUM(H22:H24)</f>
        <v>0</v>
      </c>
      <c r="I25" s="98">
        <f>SUM(I22:I24)</f>
        <v>0</v>
      </c>
      <c r="J25" s="98">
        <f>SUM(J22:J24)</f>
        <v>522.7199999999998</v>
      </c>
      <c r="K25" s="98">
        <f>SUM(K22:K24)</f>
        <v>522.7199999999998</v>
      </c>
      <c r="L25" s="98"/>
      <c r="M25" s="98">
        <f>SUM(M22:M24)</f>
        <v>522.7199999999998</v>
      </c>
      <c r="N25" s="98"/>
      <c r="O25" s="98">
        <f>SUM(O22:O24)</f>
        <v>313.63199999999989</v>
      </c>
      <c r="P25" s="98">
        <f>SUM(P22:P24)</f>
        <v>3449.9519999999989</v>
      </c>
      <c r="Q25" s="98">
        <f>SUM(Q22:Q24)</f>
        <v>689.99039999999979</v>
      </c>
      <c r="R25" s="98">
        <f>SUM(R22:R24)</f>
        <v>4139.942399999999</v>
      </c>
      <c r="S25" s="98">
        <f>SUM(S22:S24)</f>
        <v>313.63199999999972</v>
      </c>
      <c r="T25" s="98"/>
      <c r="U25" s="98">
        <f t="shared" ref="U25:AA25" si="5">SUM(U22:U24)</f>
        <v>56.453759999999953</v>
      </c>
      <c r="V25" s="98">
        <f t="shared" si="5"/>
        <v>257.17823999999973</v>
      </c>
      <c r="W25" s="98">
        <f t="shared" si="5"/>
        <v>167.27040000000005</v>
      </c>
      <c r="X25" s="98">
        <f t="shared" si="5"/>
        <v>167.27040000000005</v>
      </c>
      <c r="Y25" s="98">
        <f t="shared" si="5"/>
        <v>257.17823999999973</v>
      </c>
      <c r="Z25" s="98">
        <f t="shared" si="5"/>
        <v>223.72416000000001</v>
      </c>
      <c r="AA25" s="98">
        <f t="shared" si="5"/>
        <v>1379.9807999986197</v>
      </c>
      <c r="AB25" s="98">
        <f>IF((AA13+AA14+AA15+AA17+AA18+AA19+AA20+AA22+AA23+AA24)=0,"",(AA13+AA14+AA15+AA17+AA18+AA19+AA20+AA22+AA23+AA24)/$I$7*100-100)</f>
        <v>41.831359999953946</v>
      </c>
      <c r="AC25" s="98">
        <f>SUM(AC22:AC24)</f>
        <v>2299.9680000011494</v>
      </c>
      <c r="AD25" s="98">
        <f>SUM(AD22:AD24)</f>
        <v>459.99360000022989</v>
      </c>
      <c r="AE25" s="96" t="str">
        <f>IF(ABS(SUM(E22:E24)-100)&lt;0.0001,"ОК","ПОМИЛКА: сума часток = "&amp;ROUND(SUM(E22:E24),2)&amp;"%")</f>
        <v>ОК</v>
      </c>
      <c r="AF25" s="87"/>
      <c r="AG25" s="87"/>
      <c r="AH25" s="87"/>
    </row>
    <row r="26" spans="1:34" ht="27.95" customHeight="1" x14ac:dyDescent="0.2">
      <c r="A26" s="94">
        <v>4</v>
      </c>
      <c r="B26" s="93" t="s">
        <v>163</v>
      </c>
      <c r="C26" s="93" t="s">
        <v>305</v>
      </c>
      <c r="D26" s="93" t="s">
        <v>90</v>
      </c>
      <c r="E26" s="95">
        <v>50</v>
      </c>
      <c r="F26" s="95">
        <f>AC25*E26/100</f>
        <v>1149.9840000005747</v>
      </c>
      <c r="G26" s="95">
        <f>IF($D26="Експорт",$C$8,$C$5)</f>
        <v>20</v>
      </c>
      <c r="H26" s="95">
        <f>IF($C26="Імпорт",$F26*$I$4/100,0)</f>
        <v>0</v>
      </c>
      <c r="I26" s="95">
        <f>IF($C26="Зовнішній ПДВ",$F26*$I$5/100,0)</f>
        <v>0</v>
      </c>
      <c r="J26" s="95">
        <f>AD25*E26/100</f>
        <v>229.99680000011497</v>
      </c>
      <c r="K26" s="95">
        <f>H26+I26+J26</f>
        <v>229.99680000011497</v>
      </c>
      <c r="L26" s="95">
        <f>$C$4</f>
        <v>20</v>
      </c>
      <c r="M26" s="95">
        <f>F26*L26/100</f>
        <v>229.99680000011497</v>
      </c>
      <c r="N26" s="95">
        <f>$I$6</f>
        <v>10</v>
      </c>
      <c r="O26" s="95">
        <f>(F26+M26)*N26/100</f>
        <v>137.99808000006897</v>
      </c>
      <c r="P26" s="95">
        <f>F26+M26+O26</f>
        <v>1517.9788800007586</v>
      </c>
      <c r="Q26" s="95">
        <f>P26*G26/100</f>
        <v>303.59577600015177</v>
      </c>
      <c r="R26" s="95">
        <f>P26+Q26</f>
        <v>1821.5746560009104</v>
      </c>
      <c r="S26" s="95">
        <f>P26-M26-F26</f>
        <v>137.99808000006897</v>
      </c>
      <c r="T26" s="95">
        <f>$C$6</f>
        <v>18</v>
      </c>
      <c r="U26" s="95">
        <f>S26*T26/100</f>
        <v>24.839654400012414</v>
      </c>
      <c r="V26" s="95">
        <f>S26-U26</f>
        <v>113.15842560005655</v>
      </c>
      <c r="W26" s="95">
        <f>Q26-K26</f>
        <v>73.598976000036799</v>
      </c>
      <c r="X26" s="95">
        <f>H26+W26</f>
        <v>73.598976000036799</v>
      </c>
      <c r="Y26" s="95">
        <f>V26</f>
        <v>113.15842560005655</v>
      </c>
      <c r="Z26" s="95">
        <f>X26+U26</f>
        <v>98.43863040004922</v>
      </c>
      <c r="AA26" s="95">
        <f>IF($D26&lt;&gt;"Перехід",R26,0)</f>
        <v>1821.5746560009104</v>
      </c>
      <c r="AB26" s="95">
        <f>IF(AA26=0,"",(AA13+AA14+AA15+AA17+AA18+AA19+AA20+AA22+AA23+AA24+AA26)/$I$7*100-100)</f>
        <v>102.55051519998429</v>
      </c>
      <c r="AC26" s="95">
        <f>IF($D26="Перехід",P26,0)</f>
        <v>0</v>
      </c>
      <c r="AD26" s="95">
        <f>IF($D26="Перехід",Q26,0)</f>
        <v>0</v>
      </c>
      <c r="AE26" s="94" t="str">
        <f>""</f>
        <v/>
      </c>
      <c r="AF26" s="87"/>
      <c r="AG26" s="87"/>
      <c r="AH26" s="87"/>
    </row>
    <row r="27" spans="1:34" ht="27.95" customHeight="1" x14ac:dyDescent="0.2">
      <c r="A27" s="94">
        <v>4</v>
      </c>
      <c r="B27" s="93" t="s">
        <v>160</v>
      </c>
      <c r="C27" s="93" t="s">
        <v>305</v>
      </c>
      <c r="D27" s="93" t="s">
        <v>75</v>
      </c>
      <c r="E27" s="95">
        <v>50</v>
      </c>
      <c r="F27" s="95">
        <f>AC25*E27/100</f>
        <v>1149.9840000005747</v>
      </c>
      <c r="G27" s="95">
        <f>IF($D27="Експорт",$C$8,$C$5)</f>
        <v>20</v>
      </c>
      <c r="H27" s="95">
        <f>IF($C27="Імпорт",$F27*$I$4/100,0)</f>
        <v>0</v>
      </c>
      <c r="I27" s="95">
        <f>IF($C27="Зовнішній ПДВ",$F27*$I$5/100,0)</f>
        <v>0</v>
      </c>
      <c r="J27" s="95">
        <f>AD25*E27/100</f>
        <v>229.99680000011497</v>
      </c>
      <c r="K27" s="95">
        <f>H27+I27+J27</f>
        <v>229.99680000011497</v>
      </c>
      <c r="L27" s="95">
        <f>$C$4</f>
        <v>20</v>
      </c>
      <c r="M27" s="95">
        <f>F27*L27/100</f>
        <v>229.99680000011497</v>
      </c>
      <c r="N27" s="95">
        <f>$I$6</f>
        <v>10</v>
      </c>
      <c r="O27" s="95">
        <f>(F27+M27)*N27/100</f>
        <v>137.99808000006897</v>
      </c>
      <c r="P27" s="95">
        <f>F27+M27+O27</f>
        <v>1517.9788800007586</v>
      </c>
      <c r="Q27" s="95">
        <f>P27*G27/100</f>
        <v>303.59577600015177</v>
      </c>
      <c r="R27" s="95">
        <f>P27+Q27</f>
        <v>1821.5746560009104</v>
      </c>
      <c r="S27" s="95">
        <f>P27-M27-F27</f>
        <v>137.99808000006897</v>
      </c>
      <c r="T27" s="95">
        <f>$C$6</f>
        <v>18</v>
      </c>
      <c r="U27" s="95">
        <f>S27*T27/100</f>
        <v>24.839654400012414</v>
      </c>
      <c r="V27" s="95">
        <f>S27-U27</f>
        <v>113.15842560005655</v>
      </c>
      <c r="W27" s="95">
        <f>Q27-K27</f>
        <v>73.598976000036799</v>
      </c>
      <c r="X27" s="95">
        <f>H27+W27</f>
        <v>73.598976000036799</v>
      </c>
      <c r="Y27" s="95">
        <f>V27</f>
        <v>113.15842560005655</v>
      </c>
      <c r="Z27" s="95">
        <f>X27+U27</f>
        <v>98.43863040004922</v>
      </c>
      <c r="AA27" s="95">
        <f>IF($D27&lt;&gt;"Перехід",R27,0)</f>
        <v>0</v>
      </c>
      <c r="AB27" s="95" t="str">
        <f>IF(AA27=0,"",(AA13+AA14+AA15+AA17+AA18+AA19+AA20+AA22+AA23+AA24+AA26+AA27)/$I$7*100-100)</f>
        <v/>
      </c>
      <c r="AC27" s="95">
        <f>IF($D27="Перехід",P27,0)</f>
        <v>1517.9788800007586</v>
      </c>
      <c r="AD27" s="95">
        <f>IF($D27="Перехід",Q27,0)</f>
        <v>303.59577600015177</v>
      </c>
      <c r="AE27" s="94" t="str">
        <f>""</f>
        <v/>
      </c>
      <c r="AF27" s="87"/>
      <c r="AG27" s="87"/>
      <c r="AH27" s="87"/>
    </row>
    <row r="28" spans="1:34" ht="24" customHeight="1" x14ac:dyDescent="0.2">
      <c r="A28" s="96">
        <v>4</v>
      </c>
      <c r="B28" s="97" t="s">
        <v>309</v>
      </c>
      <c r="C28" s="97" t="s">
        <v>85</v>
      </c>
      <c r="D28" s="97" t="s">
        <v>85</v>
      </c>
      <c r="E28" s="98">
        <f>SUM(E26:E27)</f>
        <v>100</v>
      </c>
      <c r="F28" s="98">
        <f>SUM(F26:F27)</f>
        <v>2299.9680000011494</v>
      </c>
      <c r="G28" s="98"/>
      <c r="H28" s="98">
        <f>SUM(H26:H27)</f>
        <v>0</v>
      </c>
      <c r="I28" s="98">
        <f>SUM(I26:I27)</f>
        <v>0</v>
      </c>
      <c r="J28" s="98">
        <f>SUM(J26:J27)</f>
        <v>459.99360000022995</v>
      </c>
      <c r="K28" s="98">
        <f>SUM(K26:K27)</f>
        <v>459.99360000022995</v>
      </c>
      <c r="L28" s="98"/>
      <c r="M28" s="98">
        <f>SUM(M26:M27)</f>
        <v>459.99360000022995</v>
      </c>
      <c r="N28" s="98"/>
      <c r="O28" s="98">
        <f>SUM(O26:O27)</f>
        <v>275.99616000013793</v>
      </c>
      <c r="P28" s="98">
        <f>SUM(P26:P27)</f>
        <v>3035.9577600015173</v>
      </c>
      <c r="Q28" s="98">
        <f>SUM(Q26:Q27)</f>
        <v>607.19155200030355</v>
      </c>
      <c r="R28" s="98">
        <f>SUM(R26:R27)</f>
        <v>3643.1493120018208</v>
      </c>
      <c r="S28" s="98">
        <f>SUM(S26:S27)</f>
        <v>275.99616000013793</v>
      </c>
      <c r="T28" s="98"/>
      <c r="U28" s="98">
        <f t="shared" ref="U28:AA28" si="6">SUM(U26:U27)</f>
        <v>49.679308800024828</v>
      </c>
      <c r="V28" s="98">
        <f t="shared" si="6"/>
        <v>226.31685120011309</v>
      </c>
      <c r="W28" s="98">
        <f t="shared" si="6"/>
        <v>147.1979520000736</v>
      </c>
      <c r="X28" s="98">
        <f t="shared" si="6"/>
        <v>147.1979520000736</v>
      </c>
      <c r="Y28" s="98">
        <f t="shared" si="6"/>
        <v>226.31685120011309</v>
      </c>
      <c r="Z28" s="98">
        <f t="shared" si="6"/>
        <v>196.87726080009844</v>
      </c>
      <c r="AA28" s="98">
        <f t="shared" si="6"/>
        <v>1821.5746560009104</v>
      </c>
      <c r="AB28" s="98">
        <f>IF((AA13+AA14+AA15+AA17+AA18+AA19+AA20+AA22+AA23+AA24+AA26+AA27)=0,"",(AA13+AA14+AA15+AA17+AA18+AA19+AA20+AA22+AA23+AA24+AA26+AA27)/$I$7*100-100)</f>
        <v>102.55051519998429</v>
      </c>
      <c r="AC28" s="98">
        <f>SUM(AC26:AC27)</f>
        <v>1517.9788800007586</v>
      </c>
      <c r="AD28" s="98">
        <f>SUM(AD26:AD27)</f>
        <v>303.59577600015177</v>
      </c>
      <c r="AE28" s="96" t="str">
        <f>IF(ABS(SUM(E26:E27)-100)&lt;0.0001,"ОК","ПОМИЛКА: сума часток = "&amp;ROUND(SUM(E26:E27),2)&amp;"%")</f>
        <v>ОК</v>
      </c>
      <c r="AF28" s="87"/>
      <c r="AG28" s="87"/>
      <c r="AH28" s="87"/>
    </row>
    <row r="29" spans="1:34" ht="27.95" customHeight="1" x14ac:dyDescent="0.2">
      <c r="A29" s="94">
        <v>5</v>
      </c>
      <c r="B29" s="93" t="s">
        <v>163</v>
      </c>
      <c r="C29" s="93" t="s">
        <v>305</v>
      </c>
      <c r="D29" s="93" t="s">
        <v>90</v>
      </c>
      <c r="E29" s="95">
        <v>50</v>
      </c>
      <c r="F29" s="95">
        <f>AC28*E29/100</f>
        <v>758.9894400003792</v>
      </c>
      <c r="G29" s="95">
        <f>IF($D29="Експорт",$C$8,$C$5)</f>
        <v>20</v>
      </c>
      <c r="H29" s="95">
        <f>IF($C29="Імпорт",$F29*$I$4/100,0)</f>
        <v>0</v>
      </c>
      <c r="I29" s="95">
        <f>IF($C29="Зовнішній ПДВ",$F29*$I$5/100,0)</f>
        <v>0</v>
      </c>
      <c r="J29" s="95">
        <f>AD28*E29/100</f>
        <v>151.79788800007589</v>
      </c>
      <c r="K29" s="95">
        <f>H29+I29+J29</f>
        <v>151.79788800007589</v>
      </c>
      <c r="L29" s="95">
        <f>$C$4</f>
        <v>20</v>
      </c>
      <c r="M29" s="95">
        <f>F29*L29/100</f>
        <v>151.79788800007583</v>
      </c>
      <c r="N29" s="95">
        <f>$I$6</f>
        <v>10</v>
      </c>
      <c r="O29" s="95">
        <f>(F29+M29)*N29/100</f>
        <v>91.078732800045515</v>
      </c>
      <c r="P29" s="95">
        <f>F29+M29+O29</f>
        <v>1001.8660608005006</v>
      </c>
      <c r="Q29" s="95">
        <f>P29*G29/100</f>
        <v>200.37321216010011</v>
      </c>
      <c r="R29" s="95">
        <f>P29+Q29</f>
        <v>1202.2392729606006</v>
      </c>
      <c r="S29" s="95">
        <f>P29-M29-F29</f>
        <v>91.078732800045486</v>
      </c>
      <c r="T29" s="95">
        <f>$C$6</f>
        <v>18</v>
      </c>
      <c r="U29" s="95">
        <f>S29*T29/100</f>
        <v>16.394171904008189</v>
      </c>
      <c r="V29" s="95">
        <f>S29-U29</f>
        <v>74.684560896037297</v>
      </c>
      <c r="W29" s="95">
        <f>Q29-K29</f>
        <v>48.575324160024223</v>
      </c>
      <c r="X29" s="95">
        <f>H29+W29</f>
        <v>48.575324160024223</v>
      </c>
      <c r="Y29" s="95">
        <f>V29</f>
        <v>74.684560896037297</v>
      </c>
      <c r="Z29" s="95">
        <f>X29+U29</f>
        <v>64.969496064032413</v>
      </c>
      <c r="AA29" s="95">
        <f>IF($D29&lt;&gt;"Перехід",R29,0)</f>
        <v>1202.2392729606006</v>
      </c>
      <c r="AB29" s="95">
        <f>IF(AA29=0,"",(AA13+AA14+AA15+AA17+AA18+AA19+AA20+AA22+AA23+AA24+AA26+AA27+AA29)/$I$7*100-100)</f>
        <v>142.62515763200435</v>
      </c>
      <c r="AC29" s="95">
        <f>IF($D29="Перехід",P29,0)</f>
        <v>0</v>
      </c>
      <c r="AD29" s="95">
        <f>IF($D29="Перехід",Q29,0)</f>
        <v>0</v>
      </c>
      <c r="AE29" s="94" t="str">
        <f>""</f>
        <v/>
      </c>
      <c r="AF29" s="87"/>
      <c r="AG29" s="87"/>
      <c r="AH29" s="87"/>
    </row>
    <row r="30" spans="1:34" ht="27.95" customHeight="1" x14ac:dyDescent="0.2">
      <c r="A30" s="94">
        <v>5</v>
      </c>
      <c r="B30" s="93" t="s">
        <v>160</v>
      </c>
      <c r="C30" s="93" t="s">
        <v>305</v>
      </c>
      <c r="D30" s="93" t="s">
        <v>75</v>
      </c>
      <c r="E30" s="95">
        <v>50</v>
      </c>
      <c r="F30" s="95">
        <f>AC28*E30/100</f>
        <v>758.9894400003792</v>
      </c>
      <c r="G30" s="95">
        <f>IF($D30="Експорт",$C$8,$C$5)</f>
        <v>20</v>
      </c>
      <c r="H30" s="95">
        <f>IF($C30="Імпорт",$F30*$I$4/100,0)</f>
        <v>0</v>
      </c>
      <c r="I30" s="95">
        <f>IF($C30="Зовнішній ПДВ",$F30*$I$5/100,0)</f>
        <v>0</v>
      </c>
      <c r="J30" s="95">
        <f>AD28*E30/100</f>
        <v>151.79788800007589</v>
      </c>
      <c r="K30" s="95">
        <f>H30+I30+J30</f>
        <v>151.79788800007589</v>
      </c>
      <c r="L30" s="95">
        <f>$C$4</f>
        <v>20</v>
      </c>
      <c r="M30" s="95">
        <f>F30*L30/100</f>
        <v>151.79788800007583</v>
      </c>
      <c r="N30" s="95">
        <f>$I$6</f>
        <v>10</v>
      </c>
      <c r="O30" s="95">
        <f>(F30+M30)*N30/100</f>
        <v>91.078732800045515</v>
      </c>
      <c r="P30" s="95">
        <f>F30+M30+O30</f>
        <v>1001.8660608005006</v>
      </c>
      <c r="Q30" s="95">
        <f>P30*G30/100</f>
        <v>200.37321216010011</v>
      </c>
      <c r="R30" s="95">
        <f>P30+Q30</f>
        <v>1202.2392729606006</v>
      </c>
      <c r="S30" s="95">
        <f>P30-M30-F30</f>
        <v>91.078732800045486</v>
      </c>
      <c r="T30" s="95">
        <f>$C$6</f>
        <v>18</v>
      </c>
      <c r="U30" s="95">
        <f>S30*T30/100</f>
        <v>16.394171904008189</v>
      </c>
      <c r="V30" s="95">
        <f>S30-U30</f>
        <v>74.684560896037297</v>
      </c>
      <c r="W30" s="95">
        <f>Q30-K30</f>
        <v>48.575324160024223</v>
      </c>
      <c r="X30" s="95">
        <f>H30+W30</f>
        <v>48.575324160024223</v>
      </c>
      <c r="Y30" s="95">
        <f>V30</f>
        <v>74.684560896037297</v>
      </c>
      <c r="Z30" s="95">
        <f>X30+U30</f>
        <v>64.969496064032413</v>
      </c>
      <c r="AA30" s="95">
        <f>IF($D30&lt;&gt;"Перехід",R30,0)</f>
        <v>0</v>
      </c>
      <c r="AB30" s="95" t="str">
        <f>IF(AA30=0,"",(AA13+AA14+AA15+AA17+AA18+AA19+AA20+AA22+AA23+AA24+AA26+AA27+AA29+AA30)/$I$7*100-100)</f>
        <v/>
      </c>
      <c r="AC30" s="95">
        <f>IF($D30="Перехід",P30,0)</f>
        <v>1001.8660608005006</v>
      </c>
      <c r="AD30" s="95">
        <f>IF($D30="Перехід",Q30,0)</f>
        <v>200.37321216010011</v>
      </c>
      <c r="AE30" s="94" t="str">
        <f>""</f>
        <v/>
      </c>
      <c r="AF30" s="87"/>
      <c r="AG30" s="87"/>
      <c r="AH30" s="87"/>
    </row>
    <row r="31" spans="1:34" ht="24" customHeight="1" x14ac:dyDescent="0.2">
      <c r="A31" s="96">
        <v>5</v>
      </c>
      <c r="B31" s="97" t="s">
        <v>310</v>
      </c>
      <c r="C31" s="97" t="s">
        <v>85</v>
      </c>
      <c r="D31" s="97" t="s">
        <v>85</v>
      </c>
      <c r="E31" s="98">
        <f>SUM(E29:E30)</f>
        <v>100</v>
      </c>
      <c r="F31" s="98">
        <f>SUM(F29:F30)</f>
        <v>1517.9788800007584</v>
      </c>
      <c r="G31" s="98"/>
      <c r="H31" s="98">
        <f>SUM(H29:H30)</f>
        <v>0</v>
      </c>
      <c r="I31" s="98">
        <f>SUM(I29:I30)</f>
        <v>0</v>
      </c>
      <c r="J31" s="98">
        <f>SUM(J29:J30)</f>
        <v>303.59577600015177</v>
      </c>
      <c r="K31" s="98">
        <f>SUM(K29:K30)</f>
        <v>303.59577600015177</v>
      </c>
      <c r="L31" s="98"/>
      <c r="M31" s="98">
        <f>SUM(M29:M30)</f>
        <v>303.59577600015166</v>
      </c>
      <c r="N31" s="98"/>
      <c r="O31" s="98">
        <f>SUM(O29:O30)</f>
        <v>182.15746560009103</v>
      </c>
      <c r="P31" s="98">
        <f>SUM(P29:P30)</f>
        <v>2003.7321216010012</v>
      </c>
      <c r="Q31" s="98">
        <f>SUM(Q29:Q30)</f>
        <v>400.74642432020022</v>
      </c>
      <c r="R31" s="98">
        <f>SUM(R29:R30)</f>
        <v>2404.4785459212012</v>
      </c>
      <c r="S31" s="98">
        <f>SUM(S29:S30)</f>
        <v>182.15746560009097</v>
      </c>
      <c r="T31" s="98"/>
      <c r="U31" s="98">
        <f t="shared" ref="U31:AA31" si="7">SUM(U29:U30)</f>
        <v>32.788343808016378</v>
      </c>
      <c r="V31" s="98">
        <f t="shared" si="7"/>
        <v>149.36912179207459</v>
      </c>
      <c r="W31" s="98">
        <f t="shared" si="7"/>
        <v>97.150648320048447</v>
      </c>
      <c r="X31" s="98">
        <f t="shared" si="7"/>
        <v>97.150648320048447</v>
      </c>
      <c r="Y31" s="98">
        <f t="shared" si="7"/>
        <v>149.36912179207459</v>
      </c>
      <c r="Z31" s="98">
        <f t="shared" si="7"/>
        <v>129.93899212806483</v>
      </c>
      <c r="AA31" s="98">
        <f t="shared" si="7"/>
        <v>1202.2392729606006</v>
      </c>
      <c r="AB31" s="98">
        <f>IF((AA13+AA14+AA15+AA17+AA18+AA19+AA20+AA22+AA23+AA24+AA26+AA27+AA29+AA30)=0,"",(AA13+AA14+AA15+AA17+AA18+AA19+AA20+AA22+AA23+AA24+AA26+AA27+AA29+AA30)/$I$7*100-100)</f>
        <v>142.62515763200435</v>
      </c>
      <c r="AC31" s="98">
        <f>SUM(AC29:AC30)</f>
        <v>1001.8660608005006</v>
      </c>
      <c r="AD31" s="98">
        <f>SUM(AD29:AD30)</f>
        <v>200.37321216010011</v>
      </c>
      <c r="AE31" s="96" t="str">
        <f>IF(ABS(SUM(E29:E30)-100)&lt;0.0001,"ОК","ПОМИЛКА: сума часток = "&amp;ROUND(SUM(E29:E30),2)&amp;"%")</f>
        <v>ОК</v>
      </c>
      <c r="AF31" s="87"/>
      <c r="AG31" s="87"/>
      <c r="AH31" s="87"/>
    </row>
    <row r="32" spans="1:34" ht="27.95" customHeight="1" x14ac:dyDescent="0.2">
      <c r="A32" s="94">
        <v>6</v>
      </c>
      <c r="B32" s="93" t="s">
        <v>163</v>
      </c>
      <c r="C32" s="93" t="s">
        <v>305</v>
      </c>
      <c r="D32" s="93" t="s">
        <v>90</v>
      </c>
      <c r="E32" s="95">
        <v>100</v>
      </c>
      <c r="F32" s="95">
        <f>AC31*E32/100</f>
        <v>1001.8660608005006</v>
      </c>
      <c r="G32" s="95">
        <f>IF($D32="Експорт",$C$8,$C$5)</f>
        <v>20</v>
      </c>
      <c r="H32" s="95">
        <f>IF($C32="Імпорт",$F32*$I$4/100,0)</f>
        <v>0</v>
      </c>
      <c r="I32" s="95">
        <f>IF($C32="Зовнішній ПДВ",$F32*$I$5/100,0)</f>
        <v>0</v>
      </c>
      <c r="J32" s="95">
        <f>AD31*E32/100</f>
        <v>200.37321216010011</v>
      </c>
      <c r="K32" s="95">
        <f>H32+I32+J32</f>
        <v>200.37321216010011</v>
      </c>
      <c r="L32" s="95">
        <f>$C$4</f>
        <v>20</v>
      </c>
      <c r="M32" s="95">
        <f>F32*L32/100</f>
        <v>200.37321216010011</v>
      </c>
      <c r="N32" s="95">
        <f>$I$6</f>
        <v>10</v>
      </c>
      <c r="O32" s="95">
        <f>(F32+M32)*N32/100</f>
        <v>120.22392729606007</v>
      </c>
      <c r="P32" s="95">
        <f>F32+M32+O32</f>
        <v>1322.4632002566607</v>
      </c>
      <c r="Q32" s="95">
        <f>P32*G32/100</f>
        <v>264.4926400513321</v>
      </c>
      <c r="R32" s="95">
        <f>P32+Q32</f>
        <v>1586.9558403079927</v>
      </c>
      <c r="S32" s="95">
        <f>P32-M32-F32</f>
        <v>120.22392729605997</v>
      </c>
      <c r="T32" s="95">
        <f>$C$6</f>
        <v>18</v>
      </c>
      <c r="U32" s="95">
        <f>S32*T32/100</f>
        <v>21.640306913290797</v>
      </c>
      <c r="V32" s="95">
        <f>S32-U32</f>
        <v>98.583620382769169</v>
      </c>
      <c r="W32" s="95">
        <f>Q32-K32</f>
        <v>64.119427891231993</v>
      </c>
      <c r="X32" s="95">
        <f>H32+W32</f>
        <v>64.119427891231993</v>
      </c>
      <c r="Y32" s="95">
        <f>V32</f>
        <v>98.583620382769169</v>
      </c>
      <c r="Z32" s="95">
        <f>X32+U32</f>
        <v>85.759734804522793</v>
      </c>
      <c r="AA32" s="95">
        <f>IF($D32&lt;&gt;"Перехід",R32,0)</f>
        <v>1586.9558403079927</v>
      </c>
      <c r="AB32" s="95">
        <f>IF(AA32=0,"",(AA13+AA14+AA15+AA17+AA18+AA19+AA20+AA22+AA23+AA24+AA26+AA27+AA29+AA30+AA32)/$I$7*100-100)</f>
        <v>195.52368564227072</v>
      </c>
      <c r="AC32" s="95">
        <f>IF($D32="Перехід",P32,0)</f>
        <v>0</v>
      </c>
      <c r="AD32" s="95">
        <f>IF($D32="Перехід",Q32,0)</f>
        <v>0</v>
      </c>
      <c r="AE32" s="94" t="str">
        <f>""</f>
        <v/>
      </c>
      <c r="AF32" s="87"/>
      <c r="AG32" s="87"/>
      <c r="AH32" s="87"/>
    </row>
    <row r="33" spans="1:34" ht="24" customHeight="1" x14ac:dyDescent="0.2">
      <c r="A33" s="96">
        <v>6</v>
      </c>
      <c r="B33" s="97" t="s">
        <v>311</v>
      </c>
      <c r="C33" s="97" t="s">
        <v>85</v>
      </c>
      <c r="D33" s="97" t="s">
        <v>85</v>
      </c>
      <c r="E33" s="98">
        <f>SUM(E32:E32)</f>
        <v>100</v>
      </c>
      <c r="F33" s="98">
        <f>SUM(F32:F32)</f>
        <v>1001.8660608005006</v>
      </c>
      <c r="G33" s="98"/>
      <c r="H33" s="98">
        <f>SUM(H32:H32)</f>
        <v>0</v>
      </c>
      <c r="I33" s="98">
        <f>SUM(I32:I32)</f>
        <v>0</v>
      </c>
      <c r="J33" s="98">
        <f>SUM(J32:J32)</f>
        <v>200.37321216010011</v>
      </c>
      <c r="K33" s="98">
        <f>SUM(K32:K32)</f>
        <v>200.37321216010011</v>
      </c>
      <c r="L33" s="98"/>
      <c r="M33" s="98">
        <f>SUM(M32:M32)</f>
        <v>200.37321216010011</v>
      </c>
      <c r="N33" s="98"/>
      <c r="O33" s="98">
        <f>SUM(O32:O32)</f>
        <v>120.22392729606007</v>
      </c>
      <c r="P33" s="98">
        <f>SUM(P32:P32)</f>
        <v>1322.4632002566607</v>
      </c>
      <c r="Q33" s="98">
        <f>SUM(Q32:Q32)</f>
        <v>264.4926400513321</v>
      </c>
      <c r="R33" s="98">
        <f>SUM(R32:R32)</f>
        <v>1586.9558403079927</v>
      </c>
      <c r="S33" s="98">
        <f>SUM(S32:S32)</f>
        <v>120.22392729605997</v>
      </c>
      <c r="T33" s="98"/>
      <c r="U33" s="98">
        <f t="shared" ref="U33:AA33" si="8">SUM(U32:U32)</f>
        <v>21.640306913290797</v>
      </c>
      <c r="V33" s="98">
        <f t="shared" si="8"/>
        <v>98.583620382769169</v>
      </c>
      <c r="W33" s="98">
        <f t="shared" si="8"/>
        <v>64.119427891231993</v>
      </c>
      <c r="X33" s="98">
        <f t="shared" si="8"/>
        <v>64.119427891231993</v>
      </c>
      <c r="Y33" s="98">
        <f t="shared" si="8"/>
        <v>98.583620382769169</v>
      </c>
      <c r="Z33" s="98">
        <f t="shared" si="8"/>
        <v>85.759734804522793</v>
      </c>
      <c r="AA33" s="98">
        <f t="shared" si="8"/>
        <v>1586.9558403079927</v>
      </c>
      <c r="AB33" s="98">
        <f>IF((AA13+AA14+AA15+AA17+AA18+AA19+AA20+AA22+AA23+AA24+AA26+AA27+AA29+AA30+AA32)=0,"",(AA13+AA14+AA15+AA17+AA18+AA19+AA20+AA22+AA23+AA24+AA26+AA27+AA29+AA30+AA32)/$I$7*100-100)</f>
        <v>195.52368564227072</v>
      </c>
      <c r="AC33" s="98">
        <f>SUM(AC32:AC32)</f>
        <v>0</v>
      </c>
      <c r="AD33" s="98">
        <f>SUM(AD32:AD32)</f>
        <v>0</v>
      </c>
      <c r="AE33" s="96" t="str">
        <f>IF(ABS(SUM(E32:E32)-100)&lt;0.0001,"ОК","ПОМИЛКА: сума часток = "&amp;ROUND(SUM(E32:E32),2)&amp;"%")</f>
        <v>ОК</v>
      </c>
      <c r="AF33" s="87"/>
      <c r="AG33" s="87"/>
      <c r="AH33" s="87"/>
    </row>
    <row r="34" spans="1:34" ht="49.5" customHeight="1" x14ac:dyDescent="0.2">
      <c r="A34" s="99" t="s">
        <v>85</v>
      </c>
      <c r="B34" s="100" t="s">
        <v>312</v>
      </c>
      <c r="C34" s="100" t="s">
        <v>85</v>
      </c>
      <c r="D34" s="100" t="s">
        <v>85</v>
      </c>
      <c r="E34" s="101"/>
      <c r="F34" s="101">
        <f>F13+F14+F15+F17+F18+F19+F20+F22+F23+F24+F26+F27+F29+F30+F32</f>
        <v>14393.412940802409</v>
      </c>
      <c r="G34" s="101"/>
      <c r="H34" s="101">
        <f>H13+H14+H15+H17+H18+H19+H20+H22+H23+H24+H26+H27+H29+H30+H32</f>
        <v>399.99999999959999</v>
      </c>
      <c r="I34" s="101">
        <f>I13+I14+I15+I17+I18+I19+I20+I22+I23+I24+I26+I27+I29+I30+I32</f>
        <v>200.00000000040001</v>
      </c>
      <c r="J34" s="101">
        <f>J13+J14+J15+J17+J18+J19+J20+J22+J23+J24+J26+J27+J29+J30+J32</f>
        <v>2278.6825881604814</v>
      </c>
      <c r="K34" s="101">
        <f>K13+K14+K15+K17+K18+K19+K20+K22+K23+K24+K26+K27+K29+K30+K32</f>
        <v>2878.6825881604818</v>
      </c>
      <c r="L34" s="101"/>
      <c r="M34" s="101">
        <f>M13+M14+M15+M17+M18+M19+M20+M22+M23+M24+M26+M27+M29+M30+M32</f>
        <v>2878.6825881604818</v>
      </c>
      <c r="N34" s="101"/>
      <c r="O34" s="101">
        <f>O13+O14+O15+O17+O18+O19+O20+O22+O23+O24+O26+O27+O29+O30+O32</f>
        <v>1727.2095528962889</v>
      </c>
      <c r="P34" s="101">
        <f>P13+P14+P15+P17+P18+P19+P20+P22+P23+P24+P26+P27+P29+P30+P32</f>
        <v>18999.305081859176</v>
      </c>
      <c r="Q34" s="101">
        <f>Q13+Q14+Q15+Q17+Q18+Q19+Q20+Q22+Q23+Q24+Q26+Q27+Q29+Q30+Q32</f>
        <v>3538.5010163718362</v>
      </c>
      <c r="R34" s="101">
        <f>R13+R14+R15+R17+R18+R19+R20+R22+R23+R24+R26+R27+R29+R30+R32</f>
        <v>22537.806098231009</v>
      </c>
      <c r="S34" s="101">
        <f>S13+S14+S15+S17+S18+S19+S20+S22+S23+S24+S26+S27+S29+S30+S32</f>
        <v>1727.2095528962882</v>
      </c>
      <c r="T34" s="101"/>
      <c r="U34" s="101">
        <f t="shared" ref="U34:AA34" si="9">U13+U14+U15+U17+U18+U19+U20+U22+U23+U24+U26+U27+U29+U30+U32</f>
        <v>310.89771952133185</v>
      </c>
      <c r="V34" s="101">
        <f t="shared" si="9"/>
        <v>1416.311833374956</v>
      </c>
      <c r="W34" s="101">
        <f t="shared" si="9"/>
        <v>659.81842821135399</v>
      </c>
      <c r="X34" s="101">
        <f t="shared" si="9"/>
        <v>1059.8184282109537</v>
      </c>
      <c r="Y34" s="101">
        <f t="shared" si="9"/>
        <v>1416.311833374956</v>
      </c>
      <c r="Z34" s="101">
        <f t="shared" si="9"/>
        <v>1370.7161477322859</v>
      </c>
      <c r="AA34" s="101">
        <f t="shared" si="9"/>
        <v>8865.7105692681216</v>
      </c>
      <c r="AB34" s="101">
        <f>IF($I$7=0,0,AA34/$I$7*100-100)</f>
        <v>195.52368564227072</v>
      </c>
      <c r="AC34" s="101">
        <f>AC13+AC14+AC15+AC17+AC18+AC19+AC20+AC22+AC23+AC24+AC26+AC27+AC29+AC30+AC32</f>
        <v>11393.412940802409</v>
      </c>
      <c r="AD34" s="101">
        <f>AD13+AD14+AD15+AD17+AD18+AD19+AD20+AD22+AD23+AD24+AD26+AD27+AD29+AD30+AD32</f>
        <v>2278.6825881604814</v>
      </c>
      <c r="AE34" s="99" t="str">
        <f>IF(COUNTIF(AE13:AE33,"ПОМИЛКА*")&gt;0,"ПОМИЛКА","ОК")</f>
        <v>ОК</v>
      </c>
      <c r="AF34" s="87"/>
      <c r="AG34" s="87"/>
      <c r="AH34" s="87"/>
    </row>
    <row r="35" spans="1:34" ht="9" customHeight="1" x14ac:dyDescent="0.2">
      <c r="A35" s="87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</row>
    <row r="36" spans="1:34" ht="21" customHeight="1" x14ac:dyDescent="0.2">
      <c r="A36" s="87"/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</row>
    <row r="37" spans="1:34" ht="26.1" customHeight="1" x14ac:dyDescent="0.2">
      <c r="A37" s="162" t="s">
        <v>313</v>
      </c>
      <c r="B37" s="162"/>
      <c r="C37" s="162"/>
      <c r="D37" s="162"/>
      <c r="E37" s="162"/>
      <c r="F37" s="162"/>
      <c r="G37" s="162"/>
      <c r="H37" s="162"/>
      <c r="I37" s="162"/>
      <c r="J37" s="102"/>
      <c r="K37" s="102"/>
      <c r="L37" s="102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</row>
    <row r="38" spans="1:34" ht="32.1" customHeight="1" x14ac:dyDescent="0.2">
      <c r="A38" s="171" t="s">
        <v>258</v>
      </c>
      <c r="B38" s="172"/>
      <c r="C38" s="173"/>
      <c r="D38" s="164" t="s">
        <v>314</v>
      </c>
      <c r="E38" s="164"/>
      <c r="F38" s="164"/>
      <c r="G38" s="164" t="s">
        <v>315</v>
      </c>
      <c r="H38" s="164"/>
      <c r="I38" s="164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</row>
    <row r="39" spans="1:34" ht="23.1" customHeight="1" x14ac:dyDescent="0.2">
      <c r="A39" s="165" t="s">
        <v>316</v>
      </c>
      <c r="B39" s="166"/>
      <c r="C39" s="167"/>
      <c r="D39" s="163">
        <f>C7</f>
        <v>3000</v>
      </c>
      <c r="E39" s="163"/>
      <c r="F39" s="163"/>
      <c r="G39" s="163">
        <v>3000</v>
      </c>
      <c r="H39" s="163"/>
      <c r="I39" s="163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</row>
    <row r="40" spans="1:34" ht="23.1" customHeight="1" x14ac:dyDescent="0.2">
      <c r="A40" s="165" t="s">
        <v>284</v>
      </c>
      <c r="B40" s="166"/>
      <c r="C40" s="167"/>
      <c r="D40" s="163">
        <f>I8</f>
        <v>6</v>
      </c>
      <c r="E40" s="163"/>
      <c r="F40" s="163"/>
      <c r="G40" s="163">
        <v>6</v>
      </c>
      <c r="H40" s="163"/>
      <c r="I40" s="163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</row>
    <row r="41" spans="1:34" ht="23.1" customHeight="1" x14ac:dyDescent="0.2">
      <c r="A41" s="165" t="s">
        <v>317</v>
      </c>
      <c r="B41" s="166"/>
      <c r="C41" s="167"/>
      <c r="D41" s="163">
        <f>C5</f>
        <v>20</v>
      </c>
      <c r="E41" s="163"/>
      <c r="F41" s="163"/>
      <c r="G41" s="163">
        <v>20</v>
      </c>
      <c r="H41" s="163"/>
      <c r="I41" s="163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</row>
    <row r="42" spans="1:34" ht="23.1" customHeight="1" x14ac:dyDescent="0.2">
      <c r="A42" s="165" t="s">
        <v>19</v>
      </c>
      <c r="B42" s="166"/>
      <c r="C42" s="167"/>
      <c r="D42" s="163">
        <f>C6</f>
        <v>18</v>
      </c>
      <c r="E42" s="163"/>
      <c r="F42" s="163"/>
      <c r="G42" s="163">
        <v>18</v>
      </c>
      <c r="H42" s="163"/>
      <c r="I42" s="163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</row>
    <row r="43" spans="1:34" ht="23.1" customHeight="1" x14ac:dyDescent="0.2">
      <c r="A43" s="165" t="s">
        <v>264</v>
      </c>
      <c r="B43" s="166"/>
      <c r="C43" s="167"/>
      <c r="D43" s="163">
        <f>M34</f>
        <v>2878.6825881604818</v>
      </c>
      <c r="E43" s="163"/>
      <c r="F43" s="163"/>
      <c r="G43" s="163">
        <v>2878.68</v>
      </c>
      <c r="H43" s="163"/>
      <c r="I43" s="163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</row>
    <row r="44" spans="1:34" ht="23.1" customHeight="1" x14ac:dyDescent="0.2">
      <c r="A44" s="165" t="s">
        <v>271</v>
      </c>
      <c r="B44" s="166"/>
      <c r="C44" s="167"/>
      <c r="D44" s="163">
        <f>Y34</f>
        <v>1416.311833374956</v>
      </c>
      <c r="E44" s="163"/>
      <c r="F44" s="163"/>
      <c r="G44" s="163">
        <v>1416.31</v>
      </c>
      <c r="H44" s="163"/>
      <c r="I44" s="163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</row>
    <row r="45" spans="1:34" ht="23.1" customHeight="1" x14ac:dyDescent="0.2">
      <c r="A45" s="165" t="s">
        <v>275</v>
      </c>
      <c r="B45" s="166"/>
      <c r="C45" s="167"/>
      <c r="D45" s="163">
        <f>O34</f>
        <v>1727.2095528962889</v>
      </c>
      <c r="E45" s="163"/>
      <c r="F45" s="163"/>
      <c r="G45" s="163">
        <v>1727.21</v>
      </c>
      <c r="H45" s="163"/>
      <c r="I45" s="163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</row>
    <row r="46" spans="1:34" ht="23.1" customHeight="1" x14ac:dyDescent="0.2">
      <c r="A46" s="165" t="s">
        <v>318</v>
      </c>
      <c r="B46" s="166"/>
      <c r="C46" s="167"/>
      <c r="D46" s="163">
        <f>P34</f>
        <v>18999.305081859176</v>
      </c>
      <c r="E46" s="163"/>
      <c r="F46" s="163"/>
      <c r="G46" s="163">
        <v>18999.310000000001</v>
      </c>
      <c r="H46" s="163"/>
      <c r="I46" s="163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</row>
    <row r="47" spans="1:34" ht="23.1" customHeight="1" x14ac:dyDescent="0.2">
      <c r="A47" s="165" t="s">
        <v>319</v>
      </c>
      <c r="B47" s="166"/>
      <c r="C47" s="167"/>
      <c r="D47" s="163">
        <f>R34</f>
        <v>22537.806098231009</v>
      </c>
      <c r="E47" s="163"/>
      <c r="F47" s="163"/>
      <c r="G47" s="163">
        <v>22537.81</v>
      </c>
      <c r="H47" s="163"/>
      <c r="I47" s="163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</row>
    <row r="48" spans="1:34" ht="23.1" customHeight="1" x14ac:dyDescent="0.2">
      <c r="A48" s="165" t="s">
        <v>320</v>
      </c>
      <c r="B48" s="166"/>
      <c r="C48" s="167"/>
      <c r="D48" s="163">
        <f>F34</f>
        <v>14393.412940802409</v>
      </c>
      <c r="E48" s="163"/>
      <c r="F48" s="163"/>
      <c r="G48" s="163">
        <v>14393.41</v>
      </c>
      <c r="H48" s="163"/>
      <c r="I48" s="163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</row>
    <row r="49" spans="1:34" ht="23.1" customHeight="1" x14ac:dyDescent="0.2">
      <c r="A49" s="165" t="s">
        <v>60</v>
      </c>
      <c r="B49" s="166"/>
      <c r="C49" s="167"/>
      <c r="D49" s="163">
        <f>U34</f>
        <v>310.89771952133185</v>
      </c>
      <c r="E49" s="163"/>
      <c r="F49" s="163"/>
      <c r="G49" s="163">
        <v>310.89999999999998</v>
      </c>
      <c r="H49" s="163"/>
      <c r="I49" s="163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</row>
    <row r="50" spans="1:34" ht="23.1" customHeight="1" x14ac:dyDescent="0.2">
      <c r="A50" s="165" t="s">
        <v>62</v>
      </c>
      <c r="B50" s="166"/>
      <c r="C50" s="167"/>
      <c r="D50" s="163">
        <f>W34</f>
        <v>659.81842821135399</v>
      </c>
      <c r="E50" s="163"/>
      <c r="F50" s="163"/>
      <c r="G50" s="163">
        <v>659.82</v>
      </c>
      <c r="H50" s="163"/>
      <c r="I50" s="163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</row>
    <row r="51" spans="1:34" ht="23.1" customHeight="1" x14ac:dyDescent="0.2">
      <c r="A51" s="165" t="s">
        <v>281</v>
      </c>
      <c r="B51" s="166"/>
      <c r="C51" s="167"/>
      <c r="D51" s="163">
        <f>X34</f>
        <v>1059.8184282109537</v>
      </c>
      <c r="E51" s="163"/>
      <c r="F51" s="163"/>
      <c r="G51" s="163">
        <v>1059.82</v>
      </c>
      <c r="H51" s="163"/>
      <c r="I51" s="163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</row>
    <row r="52" spans="1:34" ht="23.1" customHeight="1" x14ac:dyDescent="0.2">
      <c r="A52" s="165" t="s">
        <v>286</v>
      </c>
      <c r="B52" s="166"/>
      <c r="C52" s="167"/>
      <c r="D52" s="163">
        <f>Z34</f>
        <v>1370.7161477322859</v>
      </c>
      <c r="E52" s="163"/>
      <c r="F52" s="163"/>
      <c r="G52" s="163">
        <v>1370.72</v>
      </c>
      <c r="H52" s="163"/>
      <c r="I52" s="163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</row>
    <row r="53" spans="1:34" ht="21" customHeight="1" x14ac:dyDescent="0.2">
      <c r="A53" s="87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</row>
    <row r="54" spans="1:34" ht="27.95" customHeight="1" x14ac:dyDescent="0.2">
      <c r="A54" s="168"/>
      <c r="B54" s="168"/>
      <c r="C54" s="168"/>
      <c r="D54" s="168"/>
      <c r="E54" s="168"/>
      <c r="F54" s="168"/>
      <c r="G54" s="168"/>
      <c r="H54" s="168"/>
      <c r="I54" s="168"/>
      <c r="J54" s="168"/>
      <c r="K54" s="168"/>
      <c r="L54" s="168"/>
      <c r="M54" s="168"/>
      <c r="N54" s="168"/>
      <c r="O54" s="168"/>
      <c r="P54" s="168"/>
      <c r="Q54" s="168"/>
      <c r="R54" s="168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</row>
    <row r="55" spans="1:34" ht="21" customHeight="1" x14ac:dyDescent="0.2">
      <c r="A55" s="87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</row>
    <row r="56" spans="1:34" ht="21" customHeight="1" x14ac:dyDescent="0.2">
      <c r="A56" s="87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</row>
    <row r="57" spans="1:34" ht="21" customHeight="1" x14ac:dyDescent="0.2">
      <c r="A57" s="87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</row>
  </sheetData>
  <sheetProtection algorithmName="SHA-512" hashValue="ez8Gxm9WROC7nODZ/8lufNkKPVWBJgrObq2oDIzP2+guCifHT89XQhjge+ElyyI8s7Frk6XC7nAoaAB/XJpouw==" saltValue="EDtnJPk0+CWs4LGC7NyvXg==" spinCount="100000" sheet="1" objects="1" scenarios="1"/>
  <mergeCells count="96">
    <mergeCell ref="T4:V4"/>
    <mergeCell ref="T5:V5"/>
    <mergeCell ref="T6:V6"/>
    <mergeCell ref="T8:V8"/>
    <mergeCell ref="A1:V1"/>
    <mergeCell ref="A2:V2"/>
    <mergeCell ref="A54:R54"/>
    <mergeCell ref="A5:B5"/>
    <mergeCell ref="A4:B4"/>
    <mergeCell ref="A6:B6"/>
    <mergeCell ref="A7:B7"/>
    <mergeCell ref="A8:B8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D52:F52"/>
    <mergeCell ref="G52:I52"/>
    <mergeCell ref="A52:C52"/>
    <mergeCell ref="D51:F51"/>
    <mergeCell ref="G51:I51"/>
    <mergeCell ref="A51:C51"/>
    <mergeCell ref="D50:F50"/>
    <mergeCell ref="G50:I50"/>
    <mergeCell ref="A50:C50"/>
    <mergeCell ref="D49:F49"/>
    <mergeCell ref="G49:I49"/>
    <mergeCell ref="A49:C49"/>
    <mergeCell ref="D48:F48"/>
    <mergeCell ref="G48:I48"/>
    <mergeCell ref="A48:C48"/>
    <mergeCell ref="D47:F47"/>
    <mergeCell ref="G47:I47"/>
    <mergeCell ref="A47:C47"/>
    <mergeCell ref="D46:F46"/>
    <mergeCell ref="G46:I46"/>
    <mergeCell ref="D45:F45"/>
    <mergeCell ref="G45:I45"/>
    <mergeCell ref="D44:F44"/>
    <mergeCell ref="G44:I44"/>
    <mergeCell ref="D43:F43"/>
    <mergeCell ref="G43:I43"/>
    <mergeCell ref="D42:F42"/>
    <mergeCell ref="G42:I42"/>
    <mergeCell ref="D41:F41"/>
    <mergeCell ref="G41:I41"/>
    <mergeCell ref="D40:F40"/>
    <mergeCell ref="G40:I40"/>
    <mergeCell ref="D39:F39"/>
    <mergeCell ref="G39:I39"/>
    <mergeCell ref="D38:F38"/>
    <mergeCell ref="G38:I38"/>
    <mergeCell ref="A37:I37"/>
    <mergeCell ref="P8:Q8"/>
    <mergeCell ref="R8:S8"/>
    <mergeCell ref="D8:E8"/>
    <mergeCell ref="F8:H8"/>
    <mergeCell ref="J8:K8"/>
    <mergeCell ref="L8:O8"/>
    <mergeCell ref="P6:Q6"/>
    <mergeCell ref="R6:S6"/>
    <mergeCell ref="D7:E7"/>
    <mergeCell ref="F7:H7"/>
    <mergeCell ref="J7:K7"/>
    <mergeCell ref="L7:O7"/>
    <mergeCell ref="P7:Q7"/>
    <mergeCell ref="R7:S7"/>
    <mergeCell ref="D6:E6"/>
    <mergeCell ref="F6:H6"/>
    <mergeCell ref="J6:K6"/>
    <mergeCell ref="L6:O6"/>
    <mergeCell ref="P4:Q4"/>
    <mergeCell ref="R4:S4"/>
    <mergeCell ref="D5:E5"/>
    <mergeCell ref="F5:H5"/>
    <mergeCell ref="J5:K5"/>
    <mergeCell ref="L5:O5"/>
    <mergeCell ref="P5:Q5"/>
    <mergeCell ref="R5:S5"/>
    <mergeCell ref="D4:E4"/>
    <mergeCell ref="F4:H4"/>
    <mergeCell ref="J4:K4"/>
    <mergeCell ref="L4:O4"/>
    <mergeCell ref="D3:E3"/>
    <mergeCell ref="F3:H3"/>
    <mergeCell ref="J3:K3"/>
    <mergeCell ref="L3:O3"/>
    <mergeCell ref="P3:Q3"/>
    <mergeCell ref="R3:S3"/>
    <mergeCell ref="A3:B3"/>
    <mergeCell ref="T3:V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F766E"/>
  </sheetPr>
  <dimension ref="A1:AH56"/>
  <sheetViews>
    <sheetView showGridLines="0" workbookViewId="0">
      <pane xSplit="2" ySplit="12" topLeftCell="C13" activePane="bottomRight" state="frozen"/>
      <selection pane="topRight"/>
      <selection pane="bottomLeft"/>
      <selection pane="bottomRight" activeCell="T3" sqref="T3:V3"/>
    </sheetView>
  </sheetViews>
  <sheetFormatPr defaultRowHeight="12.75" x14ac:dyDescent="0.2"/>
  <cols>
    <col min="1" max="1" width="6" customWidth="1"/>
    <col min="2" max="2" width="26" customWidth="1"/>
    <col min="3" max="3" width="20" customWidth="1"/>
    <col min="4" max="4" width="19" customWidth="1"/>
    <col min="5" max="5" width="12" customWidth="1"/>
    <col min="6" max="6" width="17" customWidth="1"/>
    <col min="7" max="7" width="12" customWidth="1"/>
    <col min="8" max="8" width="15" customWidth="1"/>
    <col min="9" max="11" width="16" customWidth="1"/>
    <col min="12" max="12" width="12" customWidth="1"/>
    <col min="13" max="13" width="18" customWidth="1"/>
    <col min="14" max="14" width="12" customWidth="1"/>
    <col min="15" max="15" width="16" customWidth="1"/>
    <col min="16" max="16" width="18" customWidth="1"/>
    <col min="17" max="17" width="16" customWidth="1"/>
    <col min="18" max="18" width="18" customWidth="1"/>
    <col min="19" max="19" width="16" customWidth="1"/>
    <col min="20" max="20" width="12" customWidth="1"/>
    <col min="21" max="22" width="16" customWidth="1"/>
    <col min="23" max="26" width="18" customWidth="1"/>
    <col min="27" max="27" width="20" customWidth="1"/>
    <col min="28" max="30" width="18" customWidth="1"/>
    <col min="31" max="31" width="14" customWidth="1"/>
    <col min="32" max="32" width="3" customWidth="1"/>
    <col min="33" max="34" width="12" customWidth="1"/>
  </cols>
  <sheetData>
    <row r="1" spans="1:34" ht="27.95" customHeight="1" x14ac:dyDescent="0.2">
      <c r="A1" s="156" t="s">
        <v>321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</row>
    <row r="2" spans="1:34" ht="27.95" customHeight="1" x14ac:dyDescent="0.2">
      <c r="A2" s="185" t="s">
        <v>255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7"/>
      <c r="X2" s="187"/>
      <c r="Y2" s="187"/>
      <c r="Z2" s="187"/>
      <c r="AA2" s="187"/>
      <c r="AB2" s="187"/>
      <c r="AC2" s="187"/>
      <c r="AD2" s="187"/>
      <c r="AE2" s="187"/>
      <c r="AF2" s="187"/>
      <c r="AG2" s="187"/>
      <c r="AH2" s="187"/>
    </row>
    <row r="3" spans="1:34" ht="26.1" customHeight="1" x14ac:dyDescent="0.2">
      <c r="A3" s="158" t="s">
        <v>2</v>
      </c>
      <c r="B3" s="159"/>
      <c r="C3" s="88" t="s">
        <v>3</v>
      </c>
      <c r="D3" s="157" t="s">
        <v>256</v>
      </c>
      <c r="E3" s="157"/>
      <c r="F3" s="157" t="s">
        <v>2</v>
      </c>
      <c r="G3" s="157"/>
      <c r="H3" s="157"/>
      <c r="I3" s="88" t="s">
        <v>3</v>
      </c>
      <c r="J3" s="157" t="s">
        <v>256</v>
      </c>
      <c r="K3" s="157"/>
      <c r="L3" s="157" t="s">
        <v>257</v>
      </c>
      <c r="M3" s="157"/>
      <c r="N3" s="157"/>
      <c r="O3" s="157"/>
      <c r="P3" s="157" t="s">
        <v>3</v>
      </c>
      <c r="Q3" s="157"/>
      <c r="R3" s="157" t="s">
        <v>258</v>
      </c>
      <c r="S3" s="157"/>
      <c r="T3" s="175" t="s">
        <v>259</v>
      </c>
      <c r="U3" s="176"/>
      <c r="V3" s="176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9"/>
    </row>
    <row r="4" spans="1:34" ht="38.1" customHeight="1" x14ac:dyDescent="0.2">
      <c r="A4" s="169" t="s">
        <v>260</v>
      </c>
      <c r="B4" s="170"/>
      <c r="C4" s="90">
        <v>30</v>
      </c>
      <c r="D4" s="161" t="s">
        <v>261</v>
      </c>
      <c r="E4" s="161"/>
      <c r="F4" s="161" t="s">
        <v>262</v>
      </c>
      <c r="G4" s="161"/>
      <c r="H4" s="161"/>
      <c r="I4" s="89">
        <f>'Модель 0-0'!I4</f>
        <v>20</v>
      </c>
      <c r="J4" s="161" t="s">
        <v>263</v>
      </c>
      <c r="K4" s="161"/>
      <c r="L4" s="161" t="s">
        <v>264</v>
      </c>
      <c r="M4" s="161"/>
      <c r="N4" s="161"/>
      <c r="O4" s="161"/>
      <c r="P4" s="160">
        <f>M34</f>
        <v>4925.7195434409223</v>
      </c>
      <c r="Q4" s="160"/>
      <c r="R4" s="161" t="s">
        <v>265</v>
      </c>
      <c r="S4" s="161"/>
      <c r="T4" s="177" t="s">
        <v>322</v>
      </c>
      <c r="U4" s="178"/>
      <c r="V4" s="178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1"/>
      <c r="AH4" s="189"/>
    </row>
    <row r="5" spans="1:34" ht="38.1" customHeight="1" x14ac:dyDescent="0.2">
      <c r="A5" s="169" t="s">
        <v>267</v>
      </c>
      <c r="B5" s="170"/>
      <c r="C5" s="89">
        <f>'Модель 0-0'!C5</f>
        <v>20</v>
      </c>
      <c r="D5" s="161" t="s">
        <v>268</v>
      </c>
      <c r="E5" s="161"/>
      <c r="F5" s="161" t="s">
        <v>269</v>
      </c>
      <c r="G5" s="161"/>
      <c r="H5" s="161"/>
      <c r="I5" s="89">
        <f>'Модель 0-0'!I5</f>
        <v>20</v>
      </c>
      <c r="J5" s="161" t="s">
        <v>270</v>
      </c>
      <c r="K5" s="161"/>
      <c r="L5" s="161" t="s">
        <v>271</v>
      </c>
      <c r="M5" s="161"/>
      <c r="N5" s="161"/>
      <c r="O5" s="161"/>
      <c r="P5" s="160">
        <f>Y34</f>
        <v>1416.3118333749567</v>
      </c>
      <c r="Q5" s="160"/>
      <c r="R5" s="161" t="s">
        <v>265</v>
      </c>
      <c r="S5" s="161"/>
      <c r="T5" s="116"/>
      <c r="U5" s="117"/>
      <c r="V5" s="117"/>
      <c r="W5" s="187"/>
      <c r="X5" s="187"/>
      <c r="Y5" s="187"/>
      <c r="Z5" s="187"/>
      <c r="AA5" s="187"/>
      <c r="AB5" s="187"/>
      <c r="AC5" s="187"/>
      <c r="AD5" s="187"/>
      <c r="AE5" s="187"/>
      <c r="AF5" s="187"/>
      <c r="AG5" s="192"/>
      <c r="AH5" s="189"/>
    </row>
    <row r="6" spans="1:34" ht="38.1" customHeight="1" x14ac:dyDescent="0.2">
      <c r="A6" s="169" t="s">
        <v>19</v>
      </c>
      <c r="B6" s="170"/>
      <c r="C6" s="89">
        <f>'Модель 0-0'!C6</f>
        <v>18</v>
      </c>
      <c r="D6" s="161" t="s">
        <v>272</v>
      </c>
      <c r="E6" s="161"/>
      <c r="F6" s="161" t="s">
        <v>323</v>
      </c>
      <c r="G6" s="161"/>
      <c r="H6" s="161"/>
      <c r="I6" s="89">
        <f>O34/(F34+M34)*100</f>
        <v>8.0919511633564465</v>
      </c>
      <c r="J6" s="161" t="s">
        <v>324</v>
      </c>
      <c r="K6" s="161"/>
      <c r="L6" s="161" t="s">
        <v>275</v>
      </c>
      <c r="M6" s="161"/>
      <c r="N6" s="161"/>
      <c r="O6" s="161"/>
      <c r="P6" s="160">
        <f>O34</f>
        <v>1727.2095528962889</v>
      </c>
      <c r="Q6" s="160"/>
      <c r="R6" s="161" t="s">
        <v>265</v>
      </c>
      <c r="S6" s="161"/>
      <c r="T6" s="179" t="s">
        <v>325</v>
      </c>
      <c r="U6" s="180"/>
      <c r="V6" s="180"/>
      <c r="W6" s="187"/>
      <c r="X6" s="187"/>
      <c r="Y6" s="187"/>
      <c r="Z6" s="187"/>
      <c r="AA6" s="187"/>
      <c r="AB6" s="187"/>
      <c r="AC6" s="187"/>
      <c r="AD6" s="187"/>
      <c r="AE6" s="187"/>
      <c r="AF6" s="187"/>
      <c r="AG6" s="192"/>
      <c r="AH6" s="189"/>
    </row>
    <row r="7" spans="1:34" ht="38.1" customHeight="1" x14ac:dyDescent="0.2">
      <c r="A7" s="169" t="s">
        <v>277</v>
      </c>
      <c r="B7" s="170"/>
      <c r="C7" s="89">
        <f>'Модель 0-0'!C7</f>
        <v>3000</v>
      </c>
      <c r="D7" s="161" t="s">
        <v>278</v>
      </c>
      <c r="E7" s="161"/>
      <c r="F7" s="161" t="s">
        <v>279</v>
      </c>
      <c r="G7" s="161"/>
      <c r="H7" s="161"/>
      <c r="I7" s="89">
        <f>C7</f>
        <v>3000</v>
      </c>
      <c r="J7" s="161" t="s">
        <v>280</v>
      </c>
      <c r="K7" s="161"/>
      <c r="L7" s="161" t="s">
        <v>281</v>
      </c>
      <c r="M7" s="161"/>
      <c r="N7" s="161"/>
      <c r="O7" s="161"/>
      <c r="P7" s="160">
        <f>X34</f>
        <v>1429.9258192670422</v>
      </c>
      <c r="Q7" s="160"/>
      <c r="R7" s="161" t="s">
        <v>265</v>
      </c>
      <c r="S7" s="161"/>
      <c r="T7" s="116"/>
      <c r="U7" s="117"/>
      <c r="V7" s="117"/>
      <c r="W7" s="187"/>
      <c r="X7" s="187"/>
      <c r="Y7" s="187"/>
      <c r="Z7" s="187"/>
      <c r="AA7" s="187"/>
      <c r="AB7" s="187"/>
      <c r="AC7" s="187"/>
      <c r="AD7" s="187"/>
      <c r="AE7" s="187"/>
      <c r="AF7" s="187"/>
      <c r="AG7" s="192"/>
      <c r="AH7" s="189"/>
    </row>
    <row r="8" spans="1:34" ht="38.1" customHeight="1" x14ac:dyDescent="0.2">
      <c r="A8" s="169" t="s">
        <v>282</v>
      </c>
      <c r="B8" s="170"/>
      <c r="C8" s="89">
        <f>'Модель 0-0'!C8</f>
        <v>0</v>
      </c>
      <c r="D8" s="161" t="s">
        <v>283</v>
      </c>
      <c r="E8" s="161"/>
      <c r="F8" s="161" t="s">
        <v>284</v>
      </c>
      <c r="G8" s="161"/>
      <c r="H8" s="161"/>
      <c r="I8" s="91">
        <f>'Модель 0-0'!I8</f>
        <v>6</v>
      </c>
      <c r="J8" s="161" t="s">
        <v>285</v>
      </c>
      <c r="K8" s="161"/>
      <c r="L8" s="161" t="s">
        <v>286</v>
      </c>
      <c r="M8" s="161"/>
      <c r="N8" s="161"/>
      <c r="O8" s="161"/>
      <c r="P8" s="160">
        <f>Z34</f>
        <v>1740.823538788374</v>
      </c>
      <c r="Q8" s="160"/>
      <c r="R8" s="161" t="s">
        <v>265</v>
      </c>
      <c r="S8" s="161"/>
      <c r="T8" s="181" t="s">
        <v>287</v>
      </c>
      <c r="U8" s="182"/>
      <c r="V8" s="182"/>
      <c r="W8" s="193"/>
      <c r="X8" s="193"/>
      <c r="Y8" s="193"/>
      <c r="Z8" s="193"/>
      <c r="AA8" s="193"/>
      <c r="AB8" s="193"/>
      <c r="AC8" s="193"/>
      <c r="AD8" s="193"/>
      <c r="AE8" s="193"/>
      <c r="AF8" s="193"/>
      <c r="AG8" s="194"/>
      <c r="AH8" s="189"/>
    </row>
    <row r="9" spans="1:34" ht="6.95" customHeight="1" x14ac:dyDescent="0.2">
      <c r="A9" s="87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</row>
    <row r="10" spans="1:34" ht="6.95" customHeight="1" x14ac:dyDescent="0.2">
      <c r="A10" s="87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</row>
    <row r="11" spans="1:34" ht="6.95" customHeight="1" x14ac:dyDescent="0.2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</row>
    <row r="12" spans="1:34" ht="60" customHeight="1" x14ac:dyDescent="0.2">
      <c r="A12" s="92" t="s">
        <v>40</v>
      </c>
      <c r="B12" s="92" t="s">
        <v>42</v>
      </c>
      <c r="C12" s="92" t="s">
        <v>45</v>
      </c>
      <c r="D12" s="92" t="s">
        <v>44</v>
      </c>
      <c r="E12" s="92" t="s">
        <v>41</v>
      </c>
      <c r="F12" s="92" t="s">
        <v>46</v>
      </c>
      <c r="G12" s="92" t="s">
        <v>288</v>
      </c>
      <c r="H12" s="92" t="s">
        <v>48</v>
      </c>
      <c r="I12" s="92" t="s">
        <v>289</v>
      </c>
      <c r="J12" s="92" t="s">
        <v>50</v>
      </c>
      <c r="K12" s="92" t="s">
        <v>290</v>
      </c>
      <c r="L12" s="92" t="s">
        <v>291</v>
      </c>
      <c r="M12" s="92" t="s">
        <v>264</v>
      </c>
      <c r="N12" s="92" t="s">
        <v>273</v>
      </c>
      <c r="O12" s="92" t="s">
        <v>292</v>
      </c>
      <c r="P12" s="92" t="s">
        <v>293</v>
      </c>
      <c r="Q12" s="92" t="s">
        <v>294</v>
      </c>
      <c r="R12" s="92" t="s">
        <v>295</v>
      </c>
      <c r="S12" s="92" t="s">
        <v>59</v>
      </c>
      <c r="T12" s="92" t="s">
        <v>296</v>
      </c>
      <c r="U12" s="92" t="s">
        <v>60</v>
      </c>
      <c r="V12" s="92" t="s">
        <v>61</v>
      </c>
      <c r="W12" s="92" t="s">
        <v>62</v>
      </c>
      <c r="X12" s="92" t="s">
        <v>281</v>
      </c>
      <c r="Y12" s="92" t="s">
        <v>297</v>
      </c>
      <c r="Z12" s="92" t="s">
        <v>286</v>
      </c>
      <c r="AA12" s="92" t="s">
        <v>65</v>
      </c>
      <c r="AB12" s="92" t="s">
        <v>298</v>
      </c>
      <c r="AC12" s="92" t="s">
        <v>66</v>
      </c>
      <c r="AD12" s="92" t="s">
        <v>299</v>
      </c>
      <c r="AE12" s="92" t="s">
        <v>300</v>
      </c>
      <c r="AF12" s="87"/>
      <c r="AG12" s="87"/>
      <c r="AH12" s="87"/>
    </row>
    <row r="13" spans="1:34" ht="27.95" customHeight="1" x14ac:dyDescent="0.2">
      <c r="A13" s="94">
        <v>1</v>
      </c>
      <c r="B13" s="93" t="s">
        <v>301</v>
      </c>
      <c r="C13" s="93" t="s">
        <v>77</v>
      </c>
      <c r="D13" s="93" t="s">
        <v>75</v>
      </c>
      <c r="E13" s="95">
        <f>'Модель 0-0'!E13</f>
        <v>33.333333333299997</v>
      </c>
      <c r="F13" s="95">
        <f>$C$7*E13/100</f>
        <v>999.9999999989999</v>
      </c>
      <c r="G13" s="95">
        <f>IF($D13="Експорт",$C$8,$C$5)</f>
        <v>20</v>
      </c>
      <c r="H13" s="95">
        <f>IF($C13="Імпорт",$F13*$I$4/100,0)</f>
        <v>199.9999999998</v>
      </c>
      <c r="I13" s="95">
        <f>IF($C13="Зовнішній ПДВ",$F13*$I$5/100,0)</f>
        <v>0</v>
      </c>
      <c r="J13" s="95">
        <f>0</f>
        <v>0</v>
      </c>
      <c r="K13" s="95">
        <f>H13+I13+J13</f>
        <v>199.9999999998</v>
      </c>
      <c r="L13" s="95">
        <f>$C$4</f>
        <v>30</v>
      </c>
      <c r="M13" s="95">
        <f>F13*L13/100</f>
        <v>299.99999999969998</v>
      </c>
      <c r="N13" s="95">
        <f>O13/(F13+M13)*100</f>
        <v>9.2307692307692317</v>
      </c>
      <c r="O13" s="95">
        <f>'Модель 0-0'!O13</f>
        <v>119.99999999987999</v>
      </c>
      <c r="P13" s="95">
        <f>F13+M13+O13</f>
        <v>1419.9999999985798</v>
      </c>
      <c r="Q13" s="95">
        <f>P13*G13/100</f>
        <v>283.99999999971595</v>
      </c>
      <c r="R13" s="95">
        <f>P13+Q13</f>
        <v>1703.9999999982958</v>
      </c>
      <c r="S13" s="95">
        <f>O13</f>
        <v>119.99999999987999</v>
      </c>
      <c r="T13" s="95">
        <f>$C$6</f>
        <v>18</v>
      </c>
      <c r="U13" s="95">
        <f>S13*T13/100</f>
        <v>21.599999999978401</v>
      </c>
      <c r="V13" s="95">
        <f>S13-U13</f>
        <v>98.399999999901581</v>
      </c>
      <c r="W13" s="95">
        <f>Q13-K13</f>
        <v>83.999999999915957</v>
      </c>
      <c r="X13" s="95">
        <f>H13+W13</f>
        <v>283.99999999971595</v>
      </c>
      <c r="Y13" s="95">
        <f>V13</f>
        <v>98.399999999901581</v>
      </c>
      <c r="Z13" s="95">
        <f>X13+U13</f>
        <v>305.59999999969438</v>
      </c>
      <c r="AA13" s="95">
        <f>IF($D13&lt;&gt;"Перехід",R13,0)</f>
        <v>0</v>
      </c>
      <c r="AB13" s="95" t="str">
        <f>IF(AA13=0,"",(AA13)/$I$7*100-100)</f>
        <v/>
      </c>
      <c r="AC13" s="95">
        <f t="shared" ref="AC13:AD15" si="0">IF($D13="Перехід",P13,0)</f>
        <v>1419.9999999985798</v>
      </c>
      <c r="AD13" s="95">
        <f t="shared" si="0"/>
        <v>283.99999999971595</v>
      </c>
      <c r="AE13" s="94" t="str">
        <f>""</f>
        <v/>
      </c>
      <c r="AF13" s="87"/>
      <c r="AG13" s="87"/>
      <c r="AH13" s="87"/>
    </row>
    <row r="14" spans="1:34" ht="27.95" customHeight="1" x14ac:dyDescent="0.2">
      <c r="A14" s="94">
        <v>1</v>
      </c>
      <c r="B14" s="93" t="s">
        <v>302</v>
      </c>
      <c r="C14" s="93" t="s">
        <v>77</v>
      </c>
      <c r="D14" s="93" t="s">
        <v>75</v>
      </c>
      <c r="E14" s="95">
        <f>'Модель 0-0'!E14</f>
        <v>33.333333333299997</v>
      </c>
      <c r="F14" s="95">
        <f>$C$7*E14/100</f>
        <v>999.9999999989999</v>
      </c>
      <c r="G14" s="95">
        <f>IF($D14="Експорт",$C$8,$C$5)</f>
        <v>20</v>
      </c>
      <c r="H14" s="95">
        <f>IF($C14="Імпорт",$F14*$I$4/100,0)</f>
        <v>199.9999999998</v>
      </c>
      <c r="I14" s="95">
        <f>IF($C14="Зовнішній ПДВ",$F14*$I$5/100,0)</f>
        <v>0</v>
      </c>
      <c r="J14" s="95">
        <f>0</f>
        <v>0</v>
      </c>
      <c r="K14" s="95">
        <f>H14+I14+J14</f>
        <v>199.9999999998</v>
      </c>
      <c r="L14" s="95">
        <f>$C$4</f>
        <v>30</v>
      </c>
      <c r="M14" s="95">
        <f>F14*L14/100</f>
        <v>299.99999999969998</v>
      </c>
      <c r="N14" s="95">
        <f>O14/(F14+M14)*100</f>
        <v>9.2307692307692317</v>
      </c>
      <c r="O14" s="95">
        <f>'Модель 0-0'!O14</f>
        <v>119.99999999987999</v>
      </c>
      <c r="P14" s="95">
        <f>F14+M14+O14</f>
        <v>1419.9999999985798</v>
      </c>
      <c r="Q14" s="95">
        <f>P14*G14/100</f>
        <v>283.99999999971595</v>
      </c>
      <c r="R14" s="95">
        <f>P14+Q14</f>
        <v>1703.9999999982958</v>
      </c>
      <c r="S14" s="95">
        <f>O14</f>
        <v>119.99999999987999</v>
      </c>
      <c r="T14" s="95">
        <f>$C$6</f>
        <v>18</v>
      </c>
      <c r="U14" s="95">
        <f>S14*T14/100</f>
        <v>21.599999999978401</v>
      </c>
      <c r="V14" s="95">
        <f>S14-U14</f>
        <v>98.399999999901581</v>
      </c>
      <c r="W14" s="95">
        <f>Q14-K14</f>
        <v>83.999999999915957</v>
      </c>
      <c r="X14" s="95">
        <f>H14+W14</f>
        <v>283.99999999971595</v>
      </c>
      <c r="Y14" s="95">
        <f>V14</f>
        <v>98.399999999901581</v>
      </c>
      <c r="Z14" s="95">
        <f>X14+U14</f>
        <v>305.59999999969438</v>
      </c>
      <c r="AA14" s="95">
        <f>IF($D14&lt;&gt;"Перехід",R14,0)</f>
        <v>0</v>
      </c>
      <c r="AB14" s="95" t="str">
        <f>IF(AA14=0,"",(AA13+AA14)/$I$7*100-100)</f>
        <v/>
      </c>
      <c r="AC14" s="95">
        <f t="shared" si="0"/>
        <v>1419.9999999985798</v>
      </c>
      <c r="AD14" s="95">
        <f t="shared" si="0"/>
        <v>283.99999999971595</v>
      </c>
      <c r="AE14" s="94" t="str">
        <f>""</f>
        <v/>
      </c>
      <c r="AF14" s="87"/>
      <c r="AG14" s="87"/>
      <c r="AH14" s="87"/>
    </row>
    <row r="15" spans="1:34" ht="27.95" customHeight="1" x14ac:dyDescent="0.2">
      <c r="A15" s="94">
        <v>1</v>
      </c>
      <c r="B15" s="93" t="s">
        <v>81</v>
      </c>
      <c r="C15" s="93" t="s">
        <v>303</v>
      </c>
      <c r="D15" s="93" t="s">
        <v>75</v>
      </c>
      <c r="E15" s="95">
        <f>'Модель 0-0'!E15</f>
        <v>33.333333333399999</v>
      </c>
      <c r="F15" s="95">
        <f>$C$7*E15/100</f>
        <v>1000.000000002</v>
      </c>
      <c r="G15" s="95">
        <f>IF($D15="Експорт",$C$8,$C$5)</f>
        <v>20</v>
      </c>
      <c r="H15" s="95">
        <f>IF($C15="Імпорт",$F15*$I$4/100,0)</f>
        <v>0</v>
      </c>
      <c r="I15" s="95">
        <f>IF($C15="Зовнішній ПДВ",$F15*$I$5/100,0)</f>
        <v>200.00000000040001</v>
      </c>
      <c r="J15" s="95">
        <f>0</f>
        <v>0</v>
      </c>
      <c r="K15" s="95">
        <f>H15+I15+J15</f>
        <v>200.00000000040001</v>
      </c>
      <c r="L15" s="95">
        <f>$C$4</f>
        <v>30</v>
      </c>
      <c r="M15" s="95">
        <f>F15*L15/100</f>
        <v>300.00000000059998</v>
      </c>
      <c r="N15" s="95">
        <f>O15/(F15+M15)*100</f>
        <v>9.2307692307692299</v>
      </c>
      <c r="O15" s="95">
        <f>'Модель 0-0'!O15</f>
        <v>120.00000000023999</v>
      </c>
      <c r="P15" s="95">
        <f>F15+M15+O15</f>
        <v>1420.0000000028399</v>
      </c>
      <c r="Q15" s="95">
        <f>P15*G15/100</f>
        <v>284.00000000056798</v>
      </c>
      <c r="R15" s="95">
        <f>P15+Q15</f>
        <v>1704.0000000034079</v>
      </c>
      <c r="S15" s="95">
        <f>O15</f>
        <v>120.00000000023999</v>
      </c>
      <c r="T15" s="95">
        <f>$C$6</f>
        <v>18</v>
      </c>
      <c r="U15" s="95">
        <f>S15*T15/100</f>
        <v>21.600000000043202</v>
      </c>
      <c r="V15" s="95">
        <f>S15-U15</f>
        <v>98.400000000196798</v>
      </c>
      <c r="W15" s="95">
        <f>Q15-K15</f>
        <v>84.000000000167972</v>
      </c>
      <c r="X15" s="95">
        <f>H15+W15</f>
        <v>84.000000000167972</v>
      </c>
      <c r="Y15" s="95">
        <f>V15</f>
        <v>98.400000000196798</v>
      </c>
      <c r="Z15" s="95">
        <f>X15+U15</f>
        <v>105.60000000021117</v>
      </c>
      <c r="AA15" s="95">
        <f>IF($D15&lt;&gt;"Перехід",R15,0)</f>
        <v>0</v>
      </c>
      <c r="AB15" s="95" t="str">
        <f>IF(AA15=0,"",(AA13+AA14+AA15)/$I$7*100-100)</f>
        <v/>
      </c>
      <c r="AC15" s="95">
        <f t="shared" si="0"/>
        <v>1420.0000000028399</v>
      </c>
      <c r="AD15" s="95">
        <f t="shared" si="0"/>
        <v>284.00000000056798</v>
      </c>
      <c r="AE15" s="94" t="str">
        <f>""</f>
        <v/>
      </c>
      <c r="AF15" s="87"/>
      <c r="AG15" s="87"/>
      <c r="AH15" s="87"/>
    </row>
    <row r="16" spans="1:34" ht="24" customHeight="1" x14ac:dyDescent="0.2">
      <c r="A16" s="96">
        <v>1</v>
      </c>
      <c r="B16" s="97" t="s">
        <v>304</v>
      </c>
      <c r="C16" s="97" t="s">
        <v>85</v>
      </c>
      <c r="D16" s="97" t="s">
        <v>85</v>
      </c>
      <c r="E16" s="98">
        <f>SUM(E13:E15)</f>
        <v>100</v>
      </c>
      <c r="F16" s="98">
        <f>SUM(F13:F15)</f>
        <v>3000</v>
      </c>
      <c r="G16" s="98"/>
      <c r="H16" s="98">
        <f>SUM(H13:H15)</f>
        <v>399.99999999959999</v>
      </c>
      <c r="I16" s="98">
        <f>SUM(I13:I15)</f>
        <v>200.00000000040001</v>
      </c>
      <c r="J16" s="98">
        <f>SUM(J13:J15)</f>
        <v>0</v>
      </c>
      <c r="K16" s="98">
        <f>SUM(K13:K15)</f>
        <v>600</v>
      </c>
      <c r="L16" s="98"/>
      <c r="M16" s="98">
        <f>SUM(M13:M15)</f>
        <v>900</v>
      </c>
      <c r="N16" s="98"/>
      <c r="O16" s="98">
        <f>SUM(O13:O15)</f>
        <v>360</v>
      </c>
      <c r="P16" s="98">
        <f>SUM(P13:P15)</f>
        <v>4260</v>
      </c>
      <c r="Q16" s="98">
        <f>SUM(Q13:Q15)</f>
        <v>851.99999999999989</v>
      </c>
      <c r="R16" s="98">
        <f>SUM(R13:R15)</f>
        <v>5112</v>
      </c>
      <c r="S16" s="98">
        <f>SUM(S13:S15)</f>
        <v>360</v>
      </c>
      <c r="T16" s="98"/>
      <c r="U16" s="98">
        <f t="shared" ref="U16:AA16" si="1">SUM(U13:U15)</f>
        <v>64.800000000000011</v>
      </c>
      <c r="V16" s="98">
        <f t="shared" si="1"/>
        <v>295.19999999999993</v>
      </c>
      <c r="W16" s="98">
        <f t="shared" si="1"/>
        <v>251.99999999999989</v>
      </c>
      <c r="X16" s="98">
        <f t="shared" si="1"/>
        <v>651.99999999959982</v>
      </c>
      <c r="Y16" s="98">
        <f t="shared" si="1"/>
        <v>295.19999999999993</v>
      </c>
      <c r="Z16" s="98">
        <f t="shared" si="1"/>
        <v>716.79999999959989</v>
      </c>
      <c r="AA16" s="98">
        <f t="shared" si="1"/>
        <v>0</v>
      </c>
      <c r="AB16" s="98" t="str">
        <f>IF((AA13+AA14+AA15)=0,"",(AA13+AA14+AA15)/$I$7*100-100)</f>
        <v/>
      </c>
      <c r="AC16" s="98">
        <f>SUM(AC13:AC15)</f>
        <v>4260</v>
      </c>
      <c r="AD16" s="98">
        <f>SUM(AD13:AD15)</f>
        <v>851.99999999999989</v>
      </c>
      <c r="AE16" s="96" t="str">
        <f>IF(ABS(SUM(E13:E15)-100)&lt;0.0001,"ОК","ПОМИЛКА: сума часток = "&amp;ROUND(SUM(E13:E15),2)&amp;"%")</f>
        <v>ОК</v>
      </c>
      <c r="AF16" s="87"/>
      <c r="AG16" s="87"/>
      <c r="AH16" s="87"/>
    </row>
    <row r="17" spans="1:34" ht="27.95" customHeight="1" x14ac:dyDescent="0.2">
      <c r="A17" s="94">
        <v>2</v>
      </c>
      <c r="B17" s="93" t="s">
        <v>163</v>
      </c>
      <c r="C17" s="93" t="s">
        <v>305</v>
      </c>
      <c r="D17" s="93" t="s">
        <v>90</v>
      </c>
      <c r="E17" s="95">
        <f>'Модель 0-0'!E17</f>
        <v>25</v>
      </c>
      <c r="F17" s="95">
        <f>AC16*E17/100</f>
        <v>1065</v>
      </c>
      <c r="G17" s="95">
        <f>IF($D17="Експорт",$C$8,$C$5)</f>
        <v>20</v>
      </c>
      <c r="H17" s="95">
        <f>IF($C17="Імпорт",$F17*$I$4/100,0)</f>
        <v>0</v>
      </c>
      <c r="I17" s="95">
        <f>IF($C17="Зовнішній ПДВ",$F17*$I$5/100,0)</f>
        <v>0</v>
      </c>
      <c r="J17" s="95">
        <f>AD16*E17/100</f>
        <v>212.99999999999997</v>
      </c>
      <c r="K17" s="95">
        <f>H17+I17+J17</f>
        <v>212.99999999999997</v>
      </c>
      <c r="L17" s="95">
        <f>$C$4</f>
        <v>30</v>
      </c>
      <c r="M17" s="95">
        <f>F17*L17/100</f>
        <v>319.5</v>
      </c>
      <c r="N17" s="95">
        <f>O17/(F17+M17)*100</f>
        <v>8.5807150595882984</v>
      </c>
      <c r="O17" s="95">
        <f>'Модель 0-0'!O17</f>
        <v>118.79999999999998</v>
      </c>
      <c r="P17" s="95">
        <f>F17+M17+O17</f>
        <v>1503.3</v>
      </c>
      <c r="Q17" s="95">
        <f>P17*G17/100</f>
        <v>300.66000000000003</v>
      </c>
      <c r="R17" s="95">
        <f>P17+Q17</f>
        <v>1803.96</v>
      </c>
      <c r="S17" s="95">
        <f>O17</f>
        <v>118.79999999999998</v>
      </c>
      <c r="T17" s="95">
        <f>$C$6</f>
        <v>18</v>
      </c>
      <c r="U17" s="95">
        <f>S17*T17/100</f>
        <v>21.383999999999997</v>
      </c>
      <c r="V17" s="95">
        <f>S17-U17</f>
        <v>97.415999999999983</v>
      </c>
      <c r="W17" s="95">
        <f>Q17-K17</f>
        <v>87.660000000000053</v>
      </c>
      <c r="X17" s="95">
        <f>H17+W17</f>
        <v>87.660000000000053</v>
      </c>
      <c r="Y17" s="95">
        <f>V17</f>
        <v>97.415999999999983</v>
      </c>
      <c r="Z17" s="95">
        <f>X17+U17</f>
        <v>109.04400000000005</v>
      </c>
      <c r="AA17" s="95">
        <f>IF($D17&lt;&gt;"Перехід",R17,0)</f>
        <v>1803.96</v>
      </c>
      <c r="AB17" s="95">
        <f>IF(AA17=0,"",(AA13+AA14+AA15+AA17)/$I$7*100-100)</f>
        <v>-39.868000000000002</v>
      </c>
      <c r="AC17" s="95">
        <f t="shared" ref="AC17:AD20" si="2">IF($D17="Перехід",P17,0)</f>
        <v>0</v>
      </c>
      <c r="AD17" s="95">
        <f t="shared" si="2"/>
        <v>0</v>
      </c>
      <c r="AE17" s="94" t="str">
        <f>""</f>
        <v/>
      </c>
      <c r="AF17" s="87"/>
      <c r="AG17" s="87"/>
      <c r="AH17" s="87"/>
    </row>
    <row r="18" spans="1:34" ht="27.95" customHeight="1" x14ac:dyDescent="0.2">
      <c r="A18" s="94">
        <v>2</v>
      </c>
      <c r="B18" s="93" t="s">
        <v>81</v>
      </c>
      <c r="C18" s="93" t="s">
        <v>305</v>
      </c>
      <c r="D18" s="93" t="s">
        <v>75</v>
      </c>
      <c r="E18" s="95">
        <f>'Модель 0-0'!E18</f>
        <v>25</v>
      </c>
      <c r="F18" s="95">
        <f>AC16*E18/100</f>
        <v>1065</v>
      </c>
      <c r="G18" s="95">
        <f>IF($D18="Експорт",$C$8,$C$5)</f>
        <v>20</v>
      </c>
      <c r="H18" s="95">
        <f>IF($C18="Імпорт",$F18*$I$4/100,0)</f>
        <v>0</v>
      </c>
      <c r="I18" s="95">
        <f>IF($C18="Зовнішній ПДВ",$F18*$I$5/100,0)</f>
        <v>0</v>
      </c>
      <c r="J18" s="95">
        <f>AD16*E18/100</f>
        <v>212.99999999999997</v>
      </c>
      <c r="K18" s="95">
        <f>H18+I18+J18</f>
        <v>212.99999999999997</v>
      </c>
      <c r="L18" s="95">
        <f>$C$4</f>
        <v>30</v>
      </c>
      <c r="M18" s="95">
        <f>F18*L18/100</f>
        <v>319.5</v>
      </c>
      <c r="N18" s="95">
        <f>O18/(F18+M18)*100</f>
        <v>8.5807150595882984</v>
      </c>
      <c r="O18" s="95">
        <f>'Модель 0-0'!O18</f>
        <v>118.79999999999998</v>
      </c>
      <c r="P18" s="95">
        <f>F18+M18+O18</f>
        <v>1503.3</v>
      </c>
      <c r="Q18" s="95">
        <f>P18*G18/100</f>
        <v>300.66000000000003</v>
      </c>
      <c r="R18" s="95">
        <f>P18+Q18</f>
        <v>1803.96</v>
      </c>
      <c r="S18" s="95">
        <f>O18</f>
        <v>118.79999999999998</v>
      </c>
      <c r="T18" s="95">
        <f>$C$6</f>
        <v>18</v>
      </c>
      <c r="U18" s="95">
        <f>S18*T18/100</f>
        <v>21.383999999999997</v>
      </c>
      <c r="V18" s="95">
        <f>S18-U18</f>
        <v>97.415999999999983</v>
      </c>
      <c r="W18" s="95">
        <f>Q18-K18</f>
        <v>87.660000000000053</v>
      </c>
      <c r="X18" s="95">
        <f>H18+W18</f>
        <v>87.660000000000053</v>
      </c>
      <c r="Y18" s="95">
        <f>V18</f>
        <v>97.415999999999983</v>
      </c>
      <c r="Z18" s="95">
        <f>X18+U18</f>
        <v>109.04400000000005</v>
      </c>
      <c r="AA18" s="95">
        <f>IF($D18&lt;&gt;"Перехід",R18,0)</f>
        <v>0</v>
      </c>
      <c r="AB18" s="95" t="str">
        <f>IF(AA18=0,"",(AA13+AA14+AA15+AA17+AA18)/$I$7*100-100)</f>
        <v/>
      </c>
      <c r="AC18" s="95">
        <f t="shared" si="2"/>
        <v>1503.3</v>
      </c>
      <c r="AD18" s="95">
        <f t="shared" si="2"/>
        <v>300.66000000000003</v>
      </c>
      <c r="AE18" s="94" t="str">
        <f>""</f>
        <v/>
      </c>
      <c r="AF18" s="87"/>
      <c r="AG18" s="87"/>
      <c r="AH18" s="87"/>
    </row>
    <row r="19" spans="1:34" ht="27.95" customHeight="1" x14ac:dyDescent="0.2">
      <c r="A19" s="94">
        <v>2</v>
      </c>
      <c r="B19" s="93" t="s">
        <v>160</v>
      </c>
      <c r="C19" s="93" t="s">
        <v>305</v>
      </c>
      <c r="D19" s="93" t="s">
        <v>75</v>
      </c>
      <c r="E19" s="95">
        <f>'Модель 0-0'!E19</f>
        <v>25</v>
      </c>
      <c r="F19" s="95">
        <f>AC16*E19/100</f>
        <v>1065</v>
      </c>
      <c r="G19" s="95">
        <f>IF($D19="Експорт",$C$8,$C$5)</f>
        <v>20</v>
      </c>
      <c r="H19" s="95">
        <f>IF($C19="Імпорт",$F19*$I$4/100,0)</f>
        <v>0</v>
      </c>
      <c r="I19" s="95">
        <f>IF($C19="Зовнішній ПДВ",$F19*$I$5/100,0)</f>
        <v>0</v>
      </c>
      <c r="J19" s="95">
        <f>AD16*E19/100</f>
        <v>212.99999999999997</v>
      </c>
      <c r="K19" s="95">
        <f>H19+I19+J19</f>
        <v>212.99999999999997</v>
      </c>
      <c r="L19" s="95">
        <f>$C$4</f>
        <v>30</v>
      </c>
      <c r="M19" s="95">
        <f>F19*L19/100</f>
        <v>319.5</v>
      </c>
      <c r="N19" s="95">
        <f>O19/(F19+M19)*100</f>
        <v>8.5807150595882984</v>
      </c>
      <c r="O19" s="95">
        <f>'Модель 0-0'!O19</f>
        <v>118.79999999999998</v>
      </c>
      <c r="P19" s="95">
        <f>F19+M19+O19</f>
        <v>1503.3</v>
      </c>
      <c r="Q19" s="95">
        <f>P19*G19/100</f>
        <v>300.66000000000003</v>
      </c>
      <c r="R19" s="95">
        <f>P19+Q19</f>
        <v>1803.96</v>
      </c>
      <c r="S19" s="95">
        <f>O19</f>
        <v>118.79999999999998</v>
      </c>
      <c r="T19" s="95">
        <f>$C$6</f>
        <v>18</v>
      </c>
      <c r="U19" s="95">
        <f>S19*T19/100</f>
        <v>21.383999999999997</v>
      </c>
      <c r="V19" s="95">
        <f>S19-U19</f>
        <v>97.415999999999983</v>
      </c>
      <c r="W19" s="95">
        <f>Q19-K19</f>
        <v>87.660000000000053</v>
      </c>
      <c r="X19" s="95">
        <f>H19+W19</f>
        <v>87.660000000000053</v>
      </c>
      <c r="Y19" s="95">
        <f>V19</f>
        <v>97.415999999999983</v>
      </c>
      <c r="Z19" s="95">
        <f>X19+U19</f>
        <v>109.04400000000005</v>
      </c>
      <c r="AA19" s="95">
        <f>IF($D19&lt;&gt;"Перехід",R19,0)</f>
        <v>0</v>
      </c>
      <c r="AB19" s="95" t="str">
        <f>IF(AA19=0,"",(AA13+AA14+AA15+AA17+AA18+AA19)/$I$7*100-100)</f>
        <v/>
      </c>
      <c r="AC19" s="95">
        <f t="shared" si="2"/>
        <v>1503.3</v>
      </c>
      <c r="AD19" s="95">
        <f t="shared" si="2"/>
        <v>300.66000000000003</v>
      </c>
      <c r="AE19" s="94" t="str">
        <f>""</f>
        <v/>
      </c>
      <c r="AF19" s="87"/>
      <c r="AG19" s="87"/>
      <c r="AH19" s="87"/>
    </row>
    <row r="20" spans="1:34" ht="27.95" customHeight="1" x14ac:dyDescent="0.2">
      <c r="A20" s="94">
        <v>2</v>
      </c>
      <c r="B20" s="93" t="s">
        <v>306</v>
      </c>
      <c r="C20" s="93" t="s">
        <v>305</v>
      </c>
      <c r="D20" s="93" t="s">
        <v>87</v>
      </c>
      <c r="E20" s="95">
        <f>'Модель 0-0'!E20</f>
        <v>25</v>
      </c>
      <c r="F20" s="95">
        <f>AC16*E20/100</f>
        <v>1065</v>
      </c>
      <c r="G20" s="95">
        <f>IF($D20="Експорт",$C$8,$C$5)</f>
        <v>0</v>
      </c>
      <c r="H20" s="95">
        <f>IF($C20="Імпорт",$F20*$I$4/100,0)</f>
        <v>0</v>
      </c>
      <c r="I20" s="95">
        <f>IF($C20="Зовнішній ПДВ",$F20*$I$5/100,0)</f>
        <v>0</v>
      </c>
      <c r="J20" s="95">
        <f>AD16*E20/100</f>
        <v>212.99999999999997</v>
      </c>
      <c r="K20" s="95">
        <f>H20+I20+J20</f>
        <v>212.99999999999997</v>
      </c>
      <c r="L20" s="95">
        <f>$C$4</f>
        <v>30</v>
      </c>
      <c r="M20" s="95">
        <f>F20*L20/100</f>
        <v>319.5</v>
      </c>
      <c r="N20" s="95">
        <f>O20/(F20+M20)*100</f>
        <v>8.5807150595882984</v>
      </c>
      <c r="O20" s="95">
        <f>'Модель 0-0'!O20</f>
        <v>118.79999999999998</v>
      </c>
      <c r="P20" s="95">
        <f>F20+M20+O20</f>
        <v>1503.3</v>
      </c>
      <c r="Q20" s="95">
        <f>P20*G20/100</f>
        <v>0</v>
      </c>
      <c r="R20" s="95">
        <f>P20+Q20</f>
        <v>1503.3</v>
      </c>
      <c r="S20" s="95">
        <f>O20</f>
        <v>118.79999999999998</v>
      </c>
      <c r="T20" s="95">
        <f>$C$6</f>
        <v>18</v>
      </c>
      <c r="U20" s="95">
        <f>S20*T20/100</f>
        <v>21.383999999999997</v>
      </c>
      <c r="V20" s="95">
        <f>S20-U20</f>
        <v>97.415999999999983</v>
      </c>
      <c r="W20" s="95">
        <f>Q20-K20</f>
        <v>-212.99999999999997</v>
      </c>
      <c r="X20" s="95">
        <f>H20+W20</f>
        <v>-212.99999999999997</v>
      </c>
      <c r="Y20" s="95">
        <f>V20</f>
        <v>97.415999999999983</v>
      </c>
      <c r="Z20" s="95">
        <f>X20+U20</f>
        <v>-191.61599999999999</v>
      </c>
      <c r="AA20" s="95">
        <f>IF($D20&lt;&gt;"Перехід",R20,0)</f>
        <v>1503.3</v>
      </c>
      <c r="AB20" s="95">
        <f>IF(AA20=0,"",(AA13+AA14+AA15+AA17+AA18+AA19+AA20)/$I$7*100-100)</f>
        <v>10.242000000000019</v>
      </c>
      <c r="AC20" s="95">
        <f t="shared" si="2"/>
        <v>0</v>
      </c>
      <c r="AD20" s="95">
        <f t="shared" si="2"/>
        <v>0</v>
      </c>
      <c r="AE20" s="94" t="str">
        <f>""</f>
        <v/>
      </c>
      <c r="AF20" s="87"/>
      <c r="AG20" s="87"/>
      <c r="AH20" s="87"/>
    </row>
    <row r="21" spans="1:34" ht="24" customHeight="1" x14ac:dyDescent="0.2">
      <c r="A21" s="96">
        <v>2</v>
      </c>
      <c r="B21" s="97" t="s">
        <v>307</v>
      </c>
      <c r="C21" s="97" t="s">
        <v>85</v>
      </c>
      <c r="D21" s="97" t="s">
        <v>85</v>
      </c>
      <c r="E21" s="98">
        <f>SUM(E17:E20)</f>
        <v>100</v>
      </c>
      <c r="F21" s="98">
        <f>SUM(F17:F20)</f>
        <v>4260</v>
      </c>
      <c r="G21" s="98"/>
      <c r="H21" s="98">
        <f>SUM(H17:H20)</f>
        <v>0</v>
      </c>
      <c r="I21" s="98">
        <f>SUM(I17:I20)</f>
        <v>0</v>
      </c>
      <c r="J21" s="98">
        <f>SUM(J17:J20)</f>
        <v>851.99999999999989</v>
      </c>
      <c r="K21" s="98">
        <f>SUM(K17:K20)</f>
        <v>851.99999999999989</v>
      </c>
      <c r="L21" s="98"/>
      <c r="M21" s="98">
        <f>SUM(M17:M20)</f>
        <v>1278</v>
      </c>
      <c r="N21" s="98"/>
      <c r="O21" s="98">
        <f>SUM(O17:O20)</f>
        <v>475.19999999999993</v>
      </c>
      <c r="P21" s="98">
        <f>SUM(P17:P20)</f>
        <v>6013.2</v>
      </c>
      <c r="Q21" s="98">
        <f>SUM(Q17:Q20)</f>
        <v>901.98</v>
      </c>
      <c r="R21" s="98">
        <f>SUM(R17:R20)</f>
        <v>6915.18</v>
      </c>
      <c r="S21" s="98">
        <f>SUM(S17:S20)</f>
        <v>475.19999999999993</v>
      </c>
      <c r="T21" s="98"/>
      <c r="U21" s="98">
        <f t="shared" ref="U21:AA21" si="3">SUM(U17:U20)</f>
        <v>85.535999999999987</v>
      </c>
      <c r="V21" s="98">
        <f t="shared" si="3"/>
        <v>389.66399999999993</v>
      </c>
      <c r="W21" s="98">
        <f t="shared" si="3"/>
        <v>49.98000000000016</v>
      </c>
      <c r="X21" s="98">
        <f t="shared" si="3"/>
        <v>49.98000000000016</v>
      </c>
      <c r="Y21" s="98">
        <f t="shared" si="3"/>
        <v>389.66399999999993</v>
      </c>
      <c r="Z21" s="98">
        <f t="shared" si="3"/>
        <v>135.51600000000019</v>
      </c>
      <c r="AA21" s="98">
        <f t="shared" si="3"/>
        <v>3307.26</v>
      </c>
      <c r="AB21" s="98">
        <f>IF((AA13+AA14+AA15+AA17+AA18+AA19+AA20)=0,"",(AA13+AA14+AA15+AA17+AA18+AA19+AA20)/$I$7*100-100)</f>
        <v>10.242000000000019</v>
      </c>
      <c r="AC21" s="98">
        <f>SUM(AC17:AC20)</f>
        <v>3006.6</v>
      </c>
      <c r="AD21" s="98">
        <f>SUM(AD17:AD20)</f>
        <v>601.32000000000005</v>
      </c>
      <c r="AE21" s="96" t="str">
        <f>IF(ABS(SUM(E17:E20)-100)&lt;0.0001,"ОК","ПОМИЛКА: сума часток = "&amp;ROUND(SUM(E17:E20),2)&amp;"%")</f>
        <v>ОК</v>
      </c>
      <c r="AF21" s="87"/>
      <c r="AG21" s="87"/>
      <c r="AH21" s="87"/>
    </row>
    <row r="22" spans="1:34" ht="27.95" customHeight="1" x14ac:dyDescent="0.2">
      <c r="A22" s="94">
        <v>3</v>
      </c>
      <c r="B22" s="93" t="s">
        <v>163</v>
      </c>
      <c r="C22" s="93" t="s">
        <v>305</v>
      </c>
      <c r="D22" s="93" t="s">
        <v>90</v>
      </c>
      <c r="E22" s="95">
        <f>'Модель 0-0'!E22</f>
        <v>33.333333333299997</v>
      </c>
      <c r="F22" s="95">
        <f>AC21*E22/100</f>
        <v>1002.1999999989977</v>
      </c>
      <c r="G22" s="95">
        <f>IF($D22="Експорт",$C$8,$C$5)</f>
        <v>20</v>
      </c>
      <c r="H22" s="95">
        <f>IF($C22="Імпорт",$F22*$I$4/100,0)</f>
        <v>0</v>
      </c>
      <c r="I22" s="95">
        <f>IF($C22="Зовнішній ПДВ",$F22*$I$5/100,0)</f>
        <v>0</v>
      </c>
      <c r="J22" s="95">
        <f>AD21*E22/100</f>
        <v>200.43999999979954</v>
      </c>
      <c r="K22" s="95">
        <f>H22+I22+J22</f>
        <v>200.43999999979954</v>
      </c>
      <c r="L22" s="95">
        <f>$C$4</f>
        <v>30</v>
      </c>
      <c r="M22" s="95">
        <f>F22*L22/100</f>
        <v>300.65999999969927</v>
      </c>
      <c r="N22" s="95">
        <f>O22/(F22+M22)*100</f>
        <v>8.0241929294014689</v>
      </c>
      <c r="O22" s="95">
        <f>'Модель 0-0'!O22</f>
        <v>104.54399999989542</v>
      </c>
      <c r="P22" s="95">
        <f>F22+M22+O22</f>
        <v>1407.4039999985923</v>
      </c>
      <c r="Q22" s="95">
        <f>P22*G22/100</f>
        <v>281.4807999997185</v>
      </c>
      <c r="R22" s="95">
        <f>P22+Q22</f>
        <v>1688.8847999983109</v>
      </c>
      <c r="S22" s="95">
        <f>O22</f>
        <v>104.54399999989542</v>
      </c>
      <c r="T22" s="95">
        <f>$C$6</f>
        <v>18</v>
      </c>
      <c r="U22" s="95">
        <f>S22*T22/100</f>
        <v>18.817919999981175</v>
      </c>
      <c r="V22" s="95">
        <f>S22-U22</f>
        <v>85.726079999914248</v>
      </c>
      <c r="W22" s="95">
        <f>Q22-K22</f>
        <v>81.04079999991896</v>
      </c>
      <c r="X22" s="95">
        <f>H22+W22</f>
        <v>81.04079999991896</v>
      </c>
      <c r="Y22" s="95">
        <f>V22</f>
        <v>85.726079999914248</v>
      </c>
      <c r="Z22" s="95">
        <f>X22+U22</f>
        <v>99.858719999900131</v>
      </c>
      <c r="AA22" s="95">
        <f>IF($D22&lt;&gt;"Перехід",R22,0)</f>
        <v>1688.8847999983109</v>
      </c>
      <c r="AB22" s="95">
        <f>IF(AA22=0,"",(AA13+AA14+AA15+AA17+AA18+AA19+AA20+AA22)/$I$7*100-100)</f>
        <v>66.538159999943701</v>
      </c>
      <c r="AC22" s="95">
        <f t="shared" ref="AC22:AD24" si="4">IF($D22="Перехід",P22,0)</f>
        <v>0</v>
      </c>
      <c r="AD22" s="95">
        <f t="shared" si="4"/>
        <v>0</v>
      </c>
      <c r="AE22" s="94" t="str">
        <f>""</f>
        <v/>
      </c>
      <c r="AF22" s="87"/>
      <c r="AG22" s="87"/>
      <c r="AH22" s="87"/>
    </row>
    <row r="23" spans="1:34" ht="27.95" customHeight="1" x14ac:dyDescent="0.2">
      <c r="A23" s="94">
        <v>3</v>
      </c>
      <c r="B23" s="93" t="s">
        <v>81</v>
      </c>
      <c r="C23" s="93" t="s">
        <v>305</v>
      </c>
      <c r="D23" s="93" t="s">
        <v>75</v>
      </c>
      <c r="E23" s="95">
        <f>'Модель 0-0'!E23</f>
        <v>33.333333333299997</v>
      </c>
      <c r="F23" s="95">
        <f>AC21*E23/100</f>
        <v>1002.1999999989977</v>
      </c>
      <c r="G23" s="95">
        <f>IF($D23="Експорт",$C$8,$C$5)</f>
        <v>20</v>
      </c>
      <c r="H23" s="95">
        <f>IF($C23="Імпорт",$F23*$I$4/100,0)</f>
        <v>0</v>
      </c>
      <c r="I23" s="95">
        <f>IF($C23="Зовнішній ПДВ",$F23*$I$5/100,0)</f>
        <v>0</v>
      </c>
      <c r="J23" s="95">
        <f>AD21*E23/100</f>
        <v>200.43999999979954</v>
      </c>
      <c r="K23" s="95">
        <f>H23+I23+J23</f>
        <v>200.43999999979954</v>
      </c>
      <c r="L23" s="95">
        <f>$C$4</f>
        <v>30</v>
      </c>
      <c r="M23" s="95">
        <f>F23*L23/100</f>
        <v>300.65999999969927</v>
      </c>
      <c r="N23" s="95">
        <f>O23/(F23+M23)*100</f>
        <v>8.0241929294014689</v>
      </c>
      <c r="O23" s="95">
        <f>'Модель 0-0'!O23</f>
        <v>104.54399999989542</v>
      </c>
      <c r="P23" s="95">
        <f>F23+M23+O23</f>
        <v>1407.4039999985923</v>
      </c>
      <c r="Q23" s="95">
        <f>P23*G23/100</f>
        <v>281.4807999997185</v>
      </c>
      <c r="R23" s="95">
        <f>P23+Q23</f>
        <v>1688.8847999983109</v>
      </c>
      <c r="S23" s="95">
        <f>O23</f>
        <v>104.54399999989542</v>
      </c>
      <c r="T23" s="95">
        <f>$C$6</f>
        <v>18</v>
      </c>
      <c r="U23" s="95">
        <f>S23*T23/100</f>
        <v>18.817919999981175</v>
      </c>
      <c r="V23" s="95">
        <f>S23-U23</f>
        <v>85.726079999914248</v>
      </c>
      <c r="W23" s="95">
        <f>Q23-K23</f>
        <v>81.04079999991896</v>
      </c>
      <c r="X23" s="95">
        <f>H23+W23</f>
        <v>81.04079999991896</v>
      </c>
      <c r="Y23" s="95">
        <f>V23</f>
        <v>85.726079999914248</v>
      </c>
      <c r="Z23" s="95">
        <f>X23+U23</f>
        <v>99.858719999900131</v>
      </c>
      <c r="AA23" s="95">
        <f>IF($D23&lt;&gt;"Перехід",R23,0)</f>
        <v>0</v>
      </c>
      <c r="AB23" s="95" t="str">
        <f>IF(AA23=0,"",(AA13+AA14+AA15+AA17+AA18+AA19+AA20+AA22+AA23)/$I$7*100-100)</f>
        <v/>
      </c>
      <c r="AC23" s="95">
        <f t="shared" si="4"/>
        <v>1407.4039999985923</v>
      </c>
      <c r="AD23" s="95">
        <f t="shared" si="4"/>
        <v>281.4807999997185</v>
      </c>
      <c r="AE23" s="94" t="str">
        <f>""</f>
        <v/>
      </c>
      <c r="AF23" s="87"/>
      <c r="AG23" s="87"/>
      <c r="AH23" s="87"/>
    </row>
    <row r="24" spans="1:34" ht="27.95" customHeight="1" x14ac:dyDescent="0.2">
      <c r="A24" s="94">
        <v>3</v>
      </c>
      <c r="B24" s="93" t="s">
        <v>160</v>
      </c>
      <c r="C24" s="93" t="s">
        <v>305</v>
      </c>
      <c r="D24" s="93" t="s">
        <v>75</v>
      </c>
      <c r="E24" s="95">
        <f>'Модель 0-0'!E24</f>
        <v>33.333333333399999</v>
      </c>
      <c r="F24" s="95">
        <f>AC21*E24/100</f>
        <v>1002.2000000020043</v>
      </c>
      <c r="G24" s="95">
        <f>IF($D24="Експорт",$C$8,$C$5)</f>
        <v>20</v>
      </c>
      <c r="H24" s="95">
        <f>IF($C24="Імпорт",$F24*$I$4/100,0)</f>
        <v>0</v>
      </c>
      <c r="I24" s="95">
        <f>IF($C24="Зовнішній ПДВ",$F24*$I$5/100,0)</f>
        <v>0</v>
      </c>
      <c r="J24" s="95">
        <f>AD21*E24/100</f>
        <v>200.44000000040091</v>
      </c>
      <c r="K24" s="95">
        <f>H24+I24+J24</f>
        <v>200.44000000040091</v>
      </c>
      <c r="L24" s="95">
        <f>$C$4</f>
        <v>30</v>
      </c>
      <c r="M24" s="95">
        <f>F24*L24/100</f>
        <v>300.66000000060126</v>
      </c>
      <c r="N24" s="95">
        <f>O24/(F24+M24)*100</f>
        <v>8.0241929294014689</v>
      </c>
      <c r="O24" s="95">
        <f>'Модель 0-0'!O24</f>
        <v>104.54400000020905</v>
      </c>
      <c r="P24" s="95">
        <f>F24+M24+O24</f>
        <v>1407.4040000028147</v>
      </c>
      <c r="Q24" s="95">
        <f>P24*G24/100</f>
        <v>281.48080000056291</v>
      </c>
      <c r="R24" s="95">
        <f>P24+Q24</f>
        <v>1688.8848000033777</v>
      </c>
      <c r="S24" s="95">
        <f>O24</f>
        <v>104.54400000020905</v>
      </c>
      <c r="T24" s="95">
        <f>$C$6</f>
        <v>18</v>
      </c>
      <c r="U24" s="95">
        <f>S24*T24/100</f>
        <v>18.817920000037631</v>
      </c>
      <c r="V24" s="95">
        <f>S24-U24</f>
        <v>85.726080000171422</v>
      </c>
      <c r="W24" s="95">
        <f>Q24-K24</f>
        <v>81.040800000161994</v>
      </c>
      <c r="X24" s="95">
        <f>H24+W24</f>
        <v>81.040800000161994</v>
      </c>
      <c r="Y24" s="95">
        <f>V24</f>
        <v>85.726080000171422</v>
      </c>
      <c r="Z24" s="95">
        <f>X24+U24</f>
        <v>99.858720000199625</v>
      </c>
      <c r="AA24" s="95">
        <f>IF($D24&lt;&gt;"Перехід",R24,0)</f>
        <v>0</v>
      </c>
      <c r="AB24" s="95" t="str">
        <f>IF(AA24=0,"",(AA13+AA14+AA15+AA17+AA18+AA19+AA20+AA22+AA23+AA24)/$I$7*100-100)</f>
        <v/>
      </c>
      <c r="AC24" s="95">
        <f t="shared" si="4"/>
        <v>1407.4040000028147</v>
      </c>
      <c r="AD24" s="95">
        <f t="shared" si="4"/>
        <v>281.48080000056291</v>
      </c>
      <c r="AE24" s="94" t="str">
        <f>""</f>
        <v/>
      </c>
      <c r="AF24" s="87"/>
      <c r="AG24" s="87"/>
      <c r="AH24" s="87"/>
    </row>
    <row r="25" spans="1:34" ht="24" customHeight="1" x14ac:dyDescent="0.2">
      <c r="A25" s="96">
        <v>3</v>
      </c>
      <c r="B25" s="97" t="s">
        <v>308</v>
      </c>
      <c r="C25" s="97" t="s">
        <v>85</v>
      </c>
      <c r="D25" s="97" t="s">
        <v>85</v>
      </c>
      <c r="E25" s="98">
        <f>SUM(E22:E24)</f>
        <v>100</v>
      </c>
      <c r="F25" s="98">
        <f>SUM(F22:F24)</f>
        <v>3006.5999999999995</v>
      </c>
      <c r="G25" s="98"/>
      <c r="H25" s="98">
        <f>SUM(H22:H24)</f>
        <v>0</v>
      </c>
      <c r="I25" s="98">
        <f>SUM(I22:I24)</f>
        <v>0</v>
      </c>
      <c r="J25" s="98">
        <f>SUM(J22:J24)</f>
        <v>601.31999999999994</v>
      </c>
      <c r="K25" s="98">
        <f>SUM(K22:K24)</f>
        <v>601.31999999999994</v>
      </c>
      <c r="L25" s="98"/>
      <c r="M25" s="98">
        <f>SUM(M22:M24)</f>
        <v>901.97999999999979</v>
      </c>
      <c r="N25" s="98"/>
      <c r="O25" s="98">
        <f>SUM(O22:O24)</f>
        <v>313.63199999999989</v>
      </c>
      <c r="P25" s="98">
        <f>SUM(P22:P24)</f>
        <v>4222.2119999999995</v>
      </c>
      <c r="Q25" s="98">
        <f>SUM(Q22:Q24)</f>
        <v>844.44239999999991</v>
      </c>
      <c r="R25" s="98">
        <f>SUM(R22:R24)</f>
        <v>5066.6543999999994</v>
      </c>
      <c r="S25" s="98">
        <f>SUM(S22:S24)</f>
        <v>313.63199999999989</v>
      </c>
      <c r="T25" s="98"/>
      <c r="U25" s="98">
        <f t="shared" ref="U25:AA25" si="5">SUM(U22:U24)</f>
        <v>56.453759999999981</v>
      </c>
      <c r="V25" s="98">
        <f t="shared" si="5"/>
        <v>257.1782399999999</v>
      </c>
      <c r="W25" s="98">
        <f t="shared" si="5"/>
        <v>243.12239999999991</v>
      </c>
      <c r="X25" s="98">
        <f t="shared" si="5"/>
        <v>243.12239999999991</v>
      </c>
      <c r="Y25" s="98">
        <f t="shared" si="5"/>
        <v>257.1782399999999</v>
      </c>
      <c r="Z25" s="98">
        <f t="shared" si="5"/>
        <v>299.5761599999999</v>
      </c>
      <c r="AA25" s="98">
        <f t="shared" si="5"/>
        <v>1688.8847999983109</v>
      </c>
      <c r="AB25" s="98">
        <f>IF((AA13+AA14+AA15+AA17+AA18+AA19+AA20+AA22+AA23+AA24)=0,"",(AA13+AA14+AA15+AA17+AA18+AA19+AA20+AA22+AA23+AA24)/$I$7*100-100)</f>
        <v>66.538159999943701</v>
      </c>
      <c r="AC25" s="98">
        <f>SUM(AC22:AC24)</f>
        <v>2814.808000001407</v>
      </c>
      <c r="AD25" s="98">
        <f>SUM(AD22:AD24)</f>
        <v>562.96160000028135</v>
      </c>
      <c r="AE25" s="96" t="str">
        <f>IF(ABS(SUM(E22:E24)-100)&lt;0.0001,"ОК","ПОМИЛКА: сума часток = "&amp;ROUND(SUM(E22:E24),2)&amp;"%")</f>
        <v>ОК</v>
      </c>
      <c r="AF25" s="87"/>
      <c r="AG25" s="87"/>
      <c r="AH25" s="87"/>
    </row>
    <row r="26" spans="1:34" ht="27.95" customHeight="1" x14ac:dyDescent="0.2">
      <c r="A26" s="94">
        <v>4</v>
      </c>
      <c r="B26" s="93" t="s">
        <v>163</v>
      </c>
      <c r="C26" s="93" t="s">
        <v>305</v>
      </c>
      <c r="D26" s="93" t="s">
        <v>90</v>
      </c>
      <c r="E26" s="95">
        <f>'Модель 0-0'!E26</f>
        <v>50</v>
      </c>
      <c r="F26" s="95">
        <f>AC25*E26/100</f>
        <v>1407.4040000007035</v>
      </c>
      <c r="G26" s="95">
        <f>IF($D26="Експорт",$C$8,$C$5)</f>
        <v>20</v>
      </c>
      <c r="H26" s="95">
        <f>IF($C26="Імпорт",$F26*$I$4/100,0)</f>
        <v>0</v>
      </c>
      <c r="I26" s="95">
        <f>IF($C26="Зовнішній ПДВ",$F26*$I$5/100,0)</f>
        <v>0</v>
      </c>
      <c r="J26" s="95">
        <f>AD25*E26/100</f>
        <v>281.48080000014068</v>
      </c>
      <c r="K26" s="95">
        <f>H26+I26+J26</f>
        <v>281.48080000014068</v>
      </c>
      <c r="L26" s="95">
        <f>$C$4</f>
        <v>30</v>
      </c>
      <c r="M26" s="95">
        <f>F26*L26/100</f>
        <v>422.22120000021101</v>
      </c>
      <c r="N26" s="95">
        <f>O26/(F26+M26)*100</f>
        <v>7.5424234427903594</v>
      </c>
      <c r="O26" s="95">
        <f>'Модель 0-0'!O26</f>
        <v>137.99808000006897</v>
      </c>
      <c r="P26" s="95">
        <f>F26+M26+O26</f>
        <v>1967.6232800009834</v>
      </c>
      <c r="Q26" s="95">
        <f>P26*G26/100</f>
        <v>393.52465600019673</v>
      </c>
      <c r="R26" s="95">
        <f>P26+Q26</f>
        <v>2361.1479360011799</v>
      </c>
      <c r="S26" s="95">
        <f>O26</f>
        <v>137.99808000006897</v>
      </c>
      <c r="T26" s="95">
        <f>$C$6</f>
        <v>18</v>
      </c>
      <c r="U26" s="95">
        <f>S26*T26/100</f>
        <v>24.839654400012414</v>
      </c>
      <c r="V26" s="95">
        <f>S26-U26</f>
        <v>113.15842560005655</v>
      </c>
      <c r="W26" s="95">
        <f>Q26-K26</f>
        <v>112.04385600005605</v>
      </c>
      <c r="X26" s="95">
        <f>H26+W26</f>
        <v>112.04385600005605</v>
      </c>
      <c r="Y26" s="95">
        <f>V26</f>
        <v>113.15842560005655</v>
      </c>
      <c r="Z26" s="95">
        <f>X26+U26</f>
        <v>136.88351040006847</v>
      </c>
      <c r="AA26" s="95">
        <f>IF($D26&lt;&gt;"Перехід",R26,0)</f>
        <v>2361.1479360011799</v>
      </c>
      <c r="AB26" s="95">
        <f>IF(AA26=0,"",(AA13+AA14+AA15+AA17+AA18+AA19+AA20+AA22+AA23+AA24+AA26)/$I$7*100-100)</f>
        <v>145.24309119998304</v>
      </c>
      <c r="AC26" s="95">
        <f>IF($D26="Перехід",P26,0)</f>
        <v>0</v>
      </c>
      <c r="AD26" s="95">
        <f>IF($D26="Перехід",Q26,0)</f>
        <v>0</v>
      </c>
      <c r="AE26" s="94" t="str">
        <f>""</f>
        <v/>
      </c>
      <c r="AF26" s="87"/>
      <c r="AG26" s="87"/>
      <c r="AH26" s="87"/>
    </row>
    <row r="27" spans="1:34" ht="27.95" customHeight="1" x14ac:dyDescent="0.2">
      <c r="A27" s="94">
        <v>4</v>
      </c>
      <c r="B27" s="93" t="s">
        <v>160</v>
      </c>
      <c r="C27" s="93" t="s">
        <v>305</v>
      </c>
      <c r="D27" s="93" t="s">
        <v>75</v>
      </c>
      <c r="E27" s="95">
        <f>'Модель 0-0'!E27</f>
        <v>50</v>
      </c>
      <c r="F27" s="95">
        <f>AC25*E27/100</f>
        <v>1407.4040000007035</v>
      </c>
      <c r="G27" s="95">
        <f>IF($D27="Експорт",$C$8,$C$5)</f>
        <v>20</v>
      </c>
      <c r="H27" s="95">
        <f>IF($C27="Імпорт",$F27*$I$4/100,0)</f>
        <v>0</v>
      </c>
      <c r="I27" s="95">
        <f>IF($C27="Зовнішній ПДВ",$F27*$I$5/100,0)</f>
        <v>0</v>
      </c>
      <c r="J27" s="95">
        <f>AD25*E27/100</f>
        <v>281.48080000014068</v>
      </c>
      <c r="K27" s="95">
        <f>H27+I27+J27</f>
        <v>281.48080000014068</v>
      </c>
      <c r="L27" s="95">
        <f>$C$4</f>
        <v>30</v>
      </c>
      <c r="M27" s="95">
        <f>F27*L27/100</f>
        <v>422.22120000021101</v>
      </c>
      <c r="N27" s="95">
        <f>O27/(F27+M27)*100</f>
        <v>7.5424234427903594</v>
      </c>
      <c r="O27" s="95">
        <f>'Модель 0-0'!O27</f>
        <v>137.99808000006897</v>
      </c>
      <c r="P27" s="95">
        <f>F27+M27+O27</f>
        <v>1967.6232800009834</v>
      </c>
      <c r="Q27" s="95">
        <f>P27*G27/100</f>
        <v>393.52465600019673</v>
      </c>
      <c r="R27" s="95">
        <f>P27+Q27</f>
        <v>2361.1479360011799</v>
      </c>
      <c r="S27" s="95">
        <f>O27</f>
        <v>137.99808000006897</v>
      </c>
      <c r="T27" s="95">
        <f>$C$6</f>
        <v>18</v>
      </c>
      <c r="U27" s="95">
        <f>S27*T27/100</f>
        <v>24.839654400012414</v>
      </c>
      <c r="V27" s="95">
        <f>S27-U27</f>
        <v>113.15842560005655</v>
      </c>
      <c r="W27" s="95">
        <f>Q27-K27</f>
        <v>112.04385600005605</v>
      </c>
      <c r="X27" s="95">
        <f>H27+W27</f>
        <v>112.04385600005605</v>
      </c>
      <c r="Y27" s="95">
        <f>V27</f>
        <v>113.15842560005655</v>
      </c>
      <c r="Z27" s="95">
        <f>X27+U27</f>
        <v>136.88351040006847</v>
      </c>
      <c r="AA27" s="95">
        <f>IF($D27&lt;&gt;"Перехід",R27,0)</f>
        <v>0</v>
      </c>
      <c r="AB27" s="95" t="str">
        <f>IF(AA27=0,"",(AA13+AA14+AA15+AA17+AA18+AA19+AA20+AA22+AA23+AA24+AA26+AA27)/$I$7*100-100)</f>
        <v/>
      </c>
      <c r="AC27" s="95">
        <f>IF($D27="Перехід",P27,0)</f>
        <v>1967.6232800009834</v>
      </c>
      <c r="AD27" s="95">
        <f>IF($D27="Перехід",Q27,0)</f>
        <v>393.52465600019673</v>
      </c>
      <c r="AE27" s="94" t="str">
        <f>""</f>
        <v/>
      </c>
      <c r="AF27" s="87"/>
      <c r="AG27" s="87"/>
      <c r="AH27" s="87"/>
    </row>
    <row r="28" spans="1:34" ht="24" customHeight="1" x14ac:dyDescent="0.2">
      <c r="A28" s="96">
        <v>4</v>
      </c>
      <c r="B28" s="97" t="s">
        <v>309</v>
      </c>
      <c r="C28" s="97" t="s">
        <v>85</v>
      </c>
      <c r="D28" s="97" t="s">
        <v>85</v>
      </c>
      <c r="E28" s="98">
        <f>SUM(E26:E27)</f>
        <v>100</v>
      </c>
      <c r="F28" s="98">
        <f>SUM(F26:F27)</f>
        <v>2814.808000001407</v>
      </c>
      <c r="G28" s="98"/>
      <c r="H28" s="98">
        <f>SUM(H26:H27)</f>
        <v>0</v>
      </c>
      <c r="I28" s="98">
        <f>SUM(I26:I27)</f>
        <v>0</v>
      </c>
      <c r="J28" s="98">
        <f>SUM(J26:J27)</f>
        <v>562.96160000028135</v>
      </c>
      <c r="K28" s="98">
        <f>SUM(K26:K27)</f>
        <v>562.96160000028135</v>
      </c>
      <c r="L28" s="98"/>
      <c r="M28" s="98">
        <f>SUM(M26:M27)</f>
        <v>844.44240000042203</v>
      </c>
      <c r="N28" s="98"/>
      <c r="O28" s="98">
        <f>SUM(O26:O27)</f>
        <v>275.99616000013793</v>
      </c>
      <c r="P28" s="98">
        <f>SUM(P26:P27)</f>
        <v>3935.2465600019668</v>
      </c>
      <c r="Q28" s="98">
        <f>SUM(Q26:Q27)</f>
        <v>787.04931200039346</v>
      </c>
      <c r="R28" s="98">
        <f>SUM(R26:R27)</f>
        <v>4722.2958720023598</v>
      </c>
      <c r="S28" s="98">
        <f>SUM(S26:S27)</f>
        <v>275.99616000013793</v>
      </c>
      <c r="T28" s="98"/>
      <c r="U28" s="98">
        <f t="shared" ref="U28:AA28" si="6">SUM(U26:U27)</f>
        <v>49.679308800024828</v>
      </c>
      <c r="V28" s="98">
        <f t="shared" si="6"/>
        <v>226.31685120011309</v>
      </c>
      <c r="W28" s="98">
        <f t="shared" si="6"/>
        <v>224.08771200011211</v>
      </c>
      <c r="X28" s="98">
        <f t="shared" si="6"/>
        <v>224.08771200011211</v>
      </c>
      <c r="Y28" s="98">
        <f t="shared" si="6"/>
        <v>226.31685120011309</v>
      </c>
      <c r="Z28" s="98">
        <f t="shared" si="6"/>
        <v>273.76702080013695</v>
      </c>
      <c r="AA28" s="98">
        <f t="shared" si="6"/>
        <v>2361.1479360011799</v>
      </c>
      <c r="AB28" s="98">
        <f>IF((AA13+AA14+AA15+AA17+AA18+AA19+AA20+AA22+AA23+AA24+AA26+AA27)=0,"",(AA13+AA14+AA15+AA17+AA18+AA19+AA20+AA22+AA23+AA24+AA26+AA27)/$I$7*100-100)</f>
        <v>145.24309119998304</v>
      </c>
      <c r="AC28" s="98">
        <f>SUM(AC26:AC27)</f>
        <v>1967.6232800009834</v>
      </c>
      <c r="AD28" s="98">
        <f>SUM(AD26:AD27)</f>
        <v>393.52465600019673</v>
      </c>
      <c r="AE28" s="96" t="str">
        <f>IF(ABS(SUM(E26:E27)-100)&lt;0.0001,"ОК","ПОМИЛКА: сума часток = "&amp;ROUND(SUM(E26:E27),2)&amp;"%")</f>
        <v>ОК</v>
      </c>
      <c r="AF28" s="87"/>
      <c r="AG28" s="87"/>
      <c r="AH28" s="87"/>
    </row>
    <row r="29" spans="1:34" ht="27.95" customHeight="1" x14ac:dyDescent="0.2">
      <c r="A29" s="94">
        <v>5</v>
      </c>
      <c r="B29" s="93" t="s">
        <v>163</v>
      </c>
      <c r="C29" s="93" t="s">
        <v>305</v>
      </c>
      <c r="D29" s="93" t="s">
        <v>90</v>
      </c>
      <c r="E29" s="95">
        <f>'Модель 0-0'!E29</f>
        <v>50</v>
      </c>
      <c r="F29" s="95">
        <f>AC28*E29/100</f>
        <v>983.81164000049171</v>
      </c>
      <c r="G29" s="95">
        <f>IF($D29="Експорт",$C$8,$C$5)</f>
        <v>20</v>
      </c>
      <c r="H29" s="95">
        <f>IF($C29="Імпорт",$F29*$I$4/100,0)</f>
        <v>0</v>
      </c>
      <c r="I29" s="95">
        <f>IF($C29="Зовнішній ПДВ",$F29*$I$5/100,0)</f>
        <v>0</v>
      </c>
      <c r="J29" s="95">
        <f>AD28*E29/100</f>
        <v>196.76232800009836</v>
      </c>
      <c r="K29" s="95">
        <f>H29+I29+J29</f>
        <v>196.76232800009836</v>
      </c>
      <c r="L29" s="95">
        <f>$C$4</f>
        <v>30</v>
      </c>
      <c r="M29" s="95">
        <f>F29*L29/100</f>
        <v>295.14349200014755</v>
      </c>
      <c r="N29" s="95">
        <f>O29/(F29+M29)*100</f>
        <v>7.1213391714198142</v>
      </c>
      <c r="O29" s="95">
        <f>'Модель 0-0'!O29</f>
        <v>91.078732800045515</v>
      </c>
      <c r="P29" s="95">
        <f>F29+M29+O29</f>
        <v>1370.0338648006848</v>
      </c>
      <c r="Q29" s="95">
        <f>P29*G29/100</f>
        <v>274.00677296013697</v>
      </c>
      <c r="R29" s="95">
        <f>P29+Q29</f>
        <v>1644.0406377608217</v>
      </c>
      <c r="S29" s="95">
        <f>O29</f>
        <v>91.078732800045515</v>
      </c>
      <c r="T29" s="95">
        <f>$C$6</f>
        <v>18</v>
      </c>
      <c r="U29" s="95">
        <f>S29*T29/100</f>
        <v>16.394171904008193</v>
      </c>
      <c r="V29" s="95">
        <f>S29-U29</f>
        <v>74.684560896037326</v>
      </c>
      <c r="W29" s="95">
        <f>Q29-K29</f>
        <v>77.244444960038606</v>
      </c>
      <c r="X29" s="95">
        <f>H29+W29</f>
        <v>77.244444960038606</v>
      </c>
      <c r="Y29" s="95">
        <f>V29</f>
        <v>74.684560896037326</v>
      </c>
      <c r="Z29" s="95">
        <f>X29+U29</f>
        <v>93.638616864046796</v>
      </c>
      <c r="AA29" s="95">
        <f>IF($D29&lt;&gt;"Перехід",R29,0)</f>
        <v>1644.0406377608217</v>
      </c>
      <c r="AB29" s="95">
        <f>IF(AA29=0,"",(AA13+AA14+AA15+AA17+AA18+AA19+AA20+AA22+AA23+AA24+AA26+AA27+AA29)/$I$7*100-100)</f>
        <v>200.04444579201044</v>
      </c>
      <c r="AC29" s="95">
        <f>IF($D29="Перехід",P29,0)</f>
        <v>0</v>
      </c>
      <c r="AD29" s="95">
        <f>IF($D29="Перехід",Q29,0)</f>
        <v>0</v>
      </c>
      <c r="AE29" s="94" t="str">
        <f>""</f>
        <v/>
      </c>
      <c r="AF29" s="87"/>
      <c r="AG29" s="87"/>
      <c r="AH29" s="87"/>
    </row>
    <row r="30" spans="1:34" ht="27.95" customHeight="1" x14ac:dyDescent="0.2">
      <c r="A30" s="94">
        <v>5</v>
      </c>
      <c r="B30" s="93" t="s">
        <v>160</v>
      </c>
      <c r="C30" s="93" t="s">
        <v>305</v>
      </c>
      <c r="D30" s="93" t="s">
        <v>75</v>
      </c>
      <c r="E30" s="95">
        <f>'Модель 0-0'!E30</f>
        <v>50</v>
      </c>
      <c r="F30" s="95">
        <f>AC28*E30/100</f>
        <v>983.81164000049171</v>
      </c>
      <c r="G30" s="95">
        <f>IF($D30="Експорт",$C$8,$C$5)</f>
        <v>20</v>
      </c>
      <c r="H30" s="95">
        <f>IF($C30="Імпорт",$F30*$I$4/100,0)</f>
        <v>0</v>
      </c>
      <c r="I30" s="95">
        <f>IF($C30="Зовнішній ПДВ",$F30*$I$5/100,0)</f>
        <v>0</v>
      </c>
      <c r="J30" s="95">
        <f>AD28*E30/100</f>
        <v>196.76232800009836</v>
      </c>
      <c r="K30" s="95">
        <f>H30+I30+J30</f>
        <v>196.76232800009836</v>
      </c>
      <c r="L30" s="95">
        <f>$C$4</f>
        <v>30</v>
      </c>
      <c r="M30" s="95">
        <f>F30*L30/100</f>
        <v>295.14349200014755</v>
      </c>
      <c r="N30" s="95">
        <f>O30/(F30+M30)*100</f>
        <v>7.1213391714198142</v>
      </c>
      <c r="O30" s="95">
        <f>'Модель 0-0'!O30</f>
        <v>91.078732800045515</v>
      </c>
      <c r="P30" s="95">
        <f>F30+M30+O30</f>
        <v>1370.0338648006848</v>
      </c>
      <c r="Q30" s="95">
        <f>P30*G30/100</f>
        <v>274.00677296013697</v>
      </c>
      <c r="R30" s="95">
        <f>P30+Q30</f>
        <v>1644.0406377608217</v>
      </c>
      <c r="S30" s="95">
        <f>O30</f>
        <v>91.078732800045515</v>
      </c>
      <c r="T30" s="95">
        <f>$C$6</f>
        <v>18</v>
      </c>
      <c r="U30" s="95">
        <f>S30*T30/100</f>
        <v>16.394171904008193</v>
      </c>
      <c r="V30" s="95">
        <f>S30-U30</f>
        <v>74.684560896037326</v>
      </c>
      <c r="W30" s="95">
        <f>Q30-K30</f>
        <v>77.244444960038606</v>
      </c>
      <c r="X30" s="95">
        <f>H30+W30</f>
        <v>77.244444960038606</v>
      </c>
      <c r="Y30" s="95">
        <f>V30</f>
        <v>74.684560896037326</v>
      </c>
      <c r="Z30" s="95">
        <f>X30+U30</f>
        <v>93.638616864046796</v>
      </c>
      <c r="AA30" s="95">
        <f>IF($D30&lt;&gt;"Перехід",R30,0)</f>
        <v>0</v>
      </c>
      <c r="AB30" s="95" t="str">
        <f>IF(AA30=0,"",(AA13+AA14+AA15+AA17+AA18+AA19+AA20+AA22+AA23+AA24+AA26+AA27+AA29+AA30)/$I$7*100-100)</f>
        <v/>
      </c>
      <c r="AC30" s="95">
        <f>IF($D30="Перехід",P30,0)</f>
        <v>1370.0338648006848</v>
      </c>
      <c r="AD30" s="95">
        <f>IF($D30="Перехід",Q30,0)</f>
        <v>274.00677296013697</v>
      </c>
      <c r="AE30" s="94" t="str">
        <f>""</f>
        <v/>
      </c>
      <c r="AF30" s="87"/>
      <c r="AG30" s="87"/>
      <c r="AH30" s="87"/>
    </row>
    <row r="31" spans="1:34" ht="24" customHeight="1" x14ac:dyDescent="0.2">
      <c r="A31" s="96">
        <v>5</v>
      </c>
      <c r="B31" s="97" t="s">
        <v>310</v>
      </c>
      <c r="C31" s="97" t="s">
        <v>85</v>
      </c>
      <c r="D31" s="97" t="s">
        <v>85</v>
      </c>
      <c r="E31" s="98">
        <f>SUM(E29:E30)</f>
        <v>100</v>
      </c>
      <c r="F31" s="98">
        <f>SUM(F29:F30)</f>
        <v>1967.6232800009834</v>
      </c>
      <c r="G31" s="98"/>
      <c r="H31" s="98">
        <f>SUM(H29:H30)</f>
        <v>0</v>
      </c>
      <c r="I31" s="98">
        <f>SUM(I29:I30)</f>
        <v>0</v>
      </c>
      <c r="J31" s="98">
        <f>SUM(J29:J30)</f>
        <v>393.52465600019673</v>
      </c>
      <c r="K31" s="98">
        <f>SUM(K29:K30)</f>
        <v>393.52465600019673</v>
      </c>
      <c r="L31" s="98"/>
      <c r="M31" s="98">
        <f>SUM(M29:M30)</f>
        <v>590.28698400029509</v>
      </c>
      <c r="N31" s="98"/>
      <c r="O31" s="98">
        <f>SUM(O29:O30)</f>
        <v>182.15746560009103</v>
      </c>
      <c r="P31" s="98">
        <f>SUM(P29:P30)</f>
        <v>2740.0677296013696</v>
      </c>
      <c r="Q31" s="98">
        <f>SUM(Q29:Q30)</f>
        <v>548.01354592027394</v>
      </c>
      <c r="R31" s="98">
        <f>SUM(R29:R30)</f>
        <v>3288.0812755216434</v>
      </c>
      <c r="S31" s="98">
        <f>SUM(S29:S30)</f>
        <v>182.15746560009103</v>
      </c>
      <c r="T31" s="98"/>
      <c r="U31" s="98">
        <f t="shared" ref="U31:AA31" si="7">SUM(U29:U30)</f>
        <v>32.788343808016386</v>
      </c>
      <c r="V31" s="98">
        <f t="shared" si="7"/>
        <v>149.36912179207465</v>
      </c>
      <c r="W31" s="98">
        <f t="shared" si="7"/>
        <v>154.48888992007721</v>
      </c>
      <c r="X31" s="98">
        <f t="shared" si="7"/>
        <v>154.48888992007721</v>
      </c>
      <c r="Y31" s="98">
        <f t="shared" si="7"/>
        <v>149.36912179207465</v>
      </c>
      <c r="Z31" s="98">
        <f t="shared" si="7"/>
        <v>187.27723372809359</v>
      </c>
      <c r="AA31" s="98">
        <f t="shared" si="7"/>
        <v>1644.0406377608217</v>
      </c>
      <c r="AB31" s="98">
        <f>IF((AA13+AA14+AA15+AA17+AA18+AA19+AA20+AA22+AA23+AA24+AA26+AA27+AA29+AA30)=0,"",(AA13+AA14+AA15+AA17+AA18+AA19+AA20+AA22+AA23+AA24+AA26+AA27+AA29+AA30)/$I$7*100-100)</f>
        <v>200.04444579201044</v>
      </c>
      <c r="AC31" s="98">
        <f>SUM(AC29:AC30)</f>
        <v>1370.0338648006848</v>
      </c>
      <c r="AD31" s="98">
        <f>SUM(AD29:AD30)</f>
        <v>274.00677296013697</v>
      </c>
      <c r="AE31" s="96" t="str">
        <f>IF(ABS(SUM(E29:E30)-100)&lt;0.0001,"ОК","ПОМИЛКА: сума часток = "&amp;ROUND(SUM(E29:E30),2)&amp;"%")</f>
        <v>ОК</v>
      </c>
      <c r="AF31" s="87"/>
      <c r="AG31" s="87"/>
      <c r="AH31" s="87"/>
    </row>
    <row r="32" spans="1:34" ht="27.95" customHeight="1" x14ac:dyDescent="0.2">
      <c r="A32" s="94">
        <v>6</v>
      </c>
      <c r="B32" s="93" t="s">
        <v>163</v>
      </c>
      <c r="C32" s="93" t="s">
        <v>305</v>
      </c>
      <c r="D32" s="93" t="s">
        <v>90</v>
      </c>
      <c r="E32" s="95">
        <f>'Модель 0-0'!E32</f>
        <v>100</v>
      </c>
      <c r="F32" s="95">
        <f>AC31*E32/100</f>
        <v>1370.0338648006846</v>
      </c>
      <c r="G32" s="95">
        <f>IF($D32="Експорт",$C$8,$C$5)</f>
        <v>20</v>
      </c>
      <c r="H32" s="95">
        <f>IF($C32="Імпорт",$F32*$I$4/100,0)</f>
        <v>0</v>
      </c>
      <c r="I32" s="95">
        <f>IF($C32="Зовнішній ПДВ",$F32*$I$5/100,0)</f>
        <v>0</v>
      </c>
      <c r="J32" s="95">
        <f>AD31*E32/100</f>
        <v>274.00677296013697</v>
      </c>
      <c r="K32" s="95">
        <f>H32+I32+J32</f>
        <v>274.00677296013697</v>
      </c>
      <c r="L32" s="95">
        <f>$C$4</f>
        <v>30</v>
      </c>
      <c r="M32" s="95">
        <f>F32*L32/100</f>
        <v>411.01015944020537</v>
      </c>
      <c r="N32" s="95">
        <f>O32/(F32+M32)*100</f>
        <v>6.7501940243897938</v>
      </c>
      <c r="O32" s="95">
        <f>'Модель 0-0'!O32</f>
        <v>120.22392729606007</v>
      </c>
      <c r="P32" s="95">
        <f>F32+M32+O32</f>
        <v>1901.26795153695</v>
      </c>
      <c r="Q32" s="95">
        <f>P32*G32/100</f>
        <v>380.25359030738997</v>
      </c>
      <c r="R32" s="95">
        <f>P32+Q32</f>
        <v>2281.5215418443399</v>
      </c>
      <c r="S32" s="95">
        <f>O32</f>
        <v>120.22392729606007</v>
      </c>
      <c r="T32" s="95">
        <f>$C$6</f>
        <v>18</v>
      </c>
      <c r="U32" s="95">
        <f>S32*T32/100</f>
        <v>21.640306913290811</v>
      </c>
      <c r="V32" s="95">
        <f>S32-U32</f>
        <v>98.583620382769254</v>
      </c>
      <c r="W32" s="95">
        <f>Q32-K32</f>
        <v>106.246817347253</v>
      </c>
      <c r="X32" s="95">
        <f>H32+W32</f>
        <v>106.246817347253</v>
      </c>
      <c r="Y32" s="95">
        <f>V32</f>
        <v>98.583620382769254</v>
      </c>
      <c r="Z32" s="95">
        <f>X32+U32</f>
        <v>127.88712426054381</v>
      </c>
      <c r="AA32" s="95">
        <f>IF($D32&lt;&gt;"Перехід",R32,0)</f>
        <v>2281.5215418443399</v>
      </c>
      <c r="AB32" s="95">
        <f>IF(AA32=0,"",(AA13+AA14+AA15+AA17+AA18+AA19+AA20+AA22+AA23+AA24+AA26+AA27+AA29+AA30+AA32)/$I$7*100-100)</f>
        <v>276.09516385348843</v>
      </c>
      <c r="AC32" s="95">
        <f>IF($D32="Перехід",P32,0)</f>
        <v>0</v>
      </c>
      <c r="AD32" s="95">
        <f>IF($D32="Перехід",Q32,0)</f>
        <v>0</v>
      </c>
      <c r="AE32" s="94" t="str">
        <f>""</f>
        <v/>
      </c>
      <c r="AF32" s="87"/>
      <c r="AG32" s="87"/>
      <c r="AH32" s="87"/>
    </row>
    <row r="33" spans="1:34" ht="24" customHeight="1" x14ac:dyDescent="0.2">
      <c r="A33" s="96">
        <v>6</v>
      </c>
      <c r="B33" s="97" t="s">
        <v>311</v>
      </c>
      <c r="C33" s="97" t="s">
        <v>85</v>
      </c>
      <c r="D33" s="97" t="s">
        <v>85</v>
      </c>
      <c r="E33" s="98">
        <f>SUM(E32:E32)</f>
        <v>100</v>
      </c>
      <c r="F33" s="98">
        <f>SUM(F32:F32)</f>
        <v>1370.0338648006846</v>
      </c>
      <c r="G33" s="98"/>
      <c r="H33" s="98">
        <f>SUM(H32:H32)</f>
        <v>0</v>
      </c>
      <c r="I33" s="98">
        <f>SUM(I32:I32)</f>
        <v>0</v>
      </c>
      <c r="J33" s="98">
        <f>SUM(J32:J32)</f>
        <v>274.00677296013697</v>
      </c>
      <c r="K33" s="98">
        <f>SUM(K32:K32)</f>
        <v>274.00677296013697</v>
      </c>
      <c r="L33" s="98"/>
      <c r="M33" s="98">
        <f>SUM(M32:M32)</f>
        <v>411.01015944020537</v>
      </c>
      <c r="N33" s="98"/>
      <c r="O33" s="98">
        <f>SUM(O32:O32)</f>
        <v>120.22392729606007</v>
      </c>
      <c r="P33" s="98">
        <f>SUM(P32:P32)</f>
        <v>1901.26795153695</v>
      </c>
      <c r="Q33" s="98">
        <f>SUM(Q32:Q32)</f>
        <v>380.25359030738997</v>
      </c>
      <c r="R33" s="98">
        <f>SUM(R32:R32)</f>
        <v>2281.5215418443399</v>
      </c>
      <c r="S33" s="98">
        <f>SUM(S32:S32)</f>
        <v>120.22392729606007</v>
      </c>
      <c r="T33" s="98"/>
      <c r="U33" s="98">
        <f t="shared" ref="U33:AA33" si="8">SUM(U32:U32)</f>
        <v>21.640306913290811</v>
      </c>
      <c r="V33" s="98">
        <f t="shared" si="8"/>
        <v>98.583620382769254</v>
      </c>
      <c r="W33" s="98">
        <f t="shared" si="8"/>
        <v>106.246817347253</v>
      </c>
      <c r="X33" s="98">
        <f t="shared" si="8"/>
        <v>106.246817347253</v>
      </c>
      <c r="Y33" s="98">
        <f t="shared" si="8"/>
        <v>98.583620382769254</v>
      </c>
      <c r="Z33" s="98">
        <f t="shared" si="8"/>
        <v>127.88712426054381</v>
      </c>
      <c r="AA33" s="98">
        <f t="shared" si="8"/>
        <v>2281.5215418443399</v>
      </c>
      <c r="AB33" s="98">
        <f>IF((AA13+AA14+AA15+AA17+AA18+AA19+AA20+AA22+AA23+AA24+AA26+AA27+AA29+AA30+AA32)=0,"",(AA13+AA14+AA15+AA17+AA18+AA19+AA20+AA22+AA23+AA24+AA26+AA27+AA29+AA30+AA32)/$I$7*100-100)</f>
        <v>276.09516385348843</v>
      </c>
      <c r="AC33" s="98">
        <f>SUM(AC32:AC32)</f>
        <v>0</v>
      </c>
      <c r="AD33" s="98">
        <f>SUM(AD32:AD32)</f>
        <v>0</v>
      </c>
      <c r="AE33" s="96" t="str">
        <f>IF(ABS(SUM(E32:E32)-100)&lt;0.0001,"ОК","ПОМИЛКА: сума часток = "&amp;ROUND(SUM(E32:E32),2)&amp;"%")</f>
        <v>ОК</v>
      </c>
      <c r="AF33" s="87"/>
      <c r="AG33" s="87"/>
      <c r="AH33" s="87"/>
    </row>
    <row r="34" spans="1:34" ht="32.1" customHeight="1" x14ac:dyDescent="0.2">
      <c r="A34" s="99" t="s">
        <v>85</v>
      </c>
      <c r="B34" s="100" t="s">
        <v>312</v>
      </c>
      <c r="C34" s="100" t="s">
        <v>85</v>
      </c>
      <c r="D34" s="100" t="s">
        <v>85</v>
      </c>
      <c r="E34" s="101"/>
      <c r="F34" s="101">
        <f>F13+F14+F15+F17+F18+F19+F20+F22+F23+F24+F26+F27+F29+F30+F32</f>
        <v>16419.065144803077</v>
      </c>
      <c r="G34" s="101"/>
      <c r="H34" s="101">
        <f>H13+H14+H15+H17+H18+H19+H20+H22+H23+H24+H26+H27+H29+H30+H32</f>
        <v>399.99999999959999</v>
      </c>
      <c r="I34" s="101">
        <f>I13+I14+I15+I17+I18+I19+I20+I22+I23+I24+I26+I27+I29+I30+I32</f>
        <v>200.00000000040001</v>
      </c>
      <c r="J34" s="101">
        <f>J13+J14+J15+J17+J18+J19+J20+J22+J23+J24+J26+J27+J29+J30+J32</f>
        <v>2683.8130289606152</v>
      </c>
      <c r="K34" s="101">
        <f>K13+K14+K15+K17+K18+K19+K20+K22+K23+K24+K26+K27+K29+K30+K32</f>
        <v>3283.8130289606152</v>
      </c>
      <c r="L34" s="101"/>
      <c r="M34" s="101">
        <f>M13+M14+M15+M17+M18+M19+M20+M22+M23+M24+M26+M27+M29+M30+M32</f>
        <v>4925.7195434409223</v>
      </c>
      <c r="N34" s="101"/>
      <c r="O34" s="101">
        <f>O13+O14+O15+O17+O18+O19+O20+O22+O23+O24+O26+O27+O29+O30+O32</f>
        <v>1727.2095528962889</v>
      </c>
      <c r="P34" s="101">
        <f>P13+P14+P15+P17+P18+P19+P20+P22+P23+P24+P26+P27+P29+P30+P32</f>
        <v>23071.994241140281</v>
      </c>
      <c r="Q34" s="101">
        <f>Q13+Q14+Q15+Q17+Q18+Q19+Q20+Q22+Q23+Q24+Q26+Q27+Q29+Q30+Q32</f>
        <v>4313.7388482280576</v>
      </c>
      <c r="R34" s="101">
        <f>R13+R14+R15+R17+R18+R19+R20+R22+R23+R24+R26+R27+R29+R30+R32</f>
        <v>27385.733089368347</v>
      </c>
      <c r="S34" s="101">
        <f>S13+S14+S15+S17+S18+S19+S20+S22+S23+S24+S26+S27+S29+S30+S32</f>
        <v>1727.2095528962889</v>
      </c>
      <c r="T34" s="101"/>
      <c r="U34" s="101">
        <f t="shared" ref="U34:AA34" si="9">U13+U14+U15+U17+U18+U19+U20+U22+U23+U24+U26+U27+U29+U30+U32</f>
        <v>310.89771952133202</v>
      </c>
      <c r="V34" s="101">
        <f t="shared" si="9"/>
        <v>1416.3118333749567</v>
      </c>
      <c r="W34" s="101">
        <f t="shared" si="9"/>
        <v>1029.9258192674424</v>
      </c>
      <c r="X34" s="101">
        <f t="shared" si="9"/>
        <v>1429.9258192670422</v>
      </c>
      <c r="Y34" s="101">
        <f t="shared" si="9"/>
        <v>1416.3118333749567</v>
      </c>
      <c r="Z34" s="101">
        <f t="shared" si="9"/>
        <v>1740.823538788374</v>
      </c>
      <c r="AA34" s="101">
        <f t="shared" si="9"/>
        <v>11282.854915604654</v>
      </c>
      <c r="AB34" s="101">
        <f>IF($I$7=0,0,AA34/$I$7*100-100)</f>
        <v>276.09516385348843</v>
      </c>
      <c r="AC34" s="101">
        <f>AC13+AC14+AC15+AC17+AC18+AC19+AC20+AC22+AC23+AC24+AC26+AC27+AC29+AC30+AC32</f>
        <v>13419.065144803077</v>
      </c>
      <c r="AD34" s="101">
        <f>AD13+AD14+AD15+AD17+AD18+AD19+AD20+AD22+AD23+AD24+AD26+AD27+AD29+AD30+AD32</f>
        <v>2683.8130289606152</v>
      </c>
      <c r="AE34" s="99" t="str">
        <f>IF(COUNTIF(AE13:AE33,"ПОМИЛКА*")&gt;0,"ПОМИЛКА","ОК")</f>
        <v>ОК</v>
      </c>
      <c r="AF34" s="87"/>
      <c r="AG34" s="87"/>
      <c r="AH34" s="87"/>
    </row>
    <row r="35" spans="1:34" ht="9" customHeight="1" x14ac:dyDescent="0.2">
      <c r="A35" s="87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</row>
    <row r="36" spans="1:34" ht="26.1" customHeight="1" x14ac:dyDescent="0.2">
      <c r="A36" s="162" t="s">
        <v>313</v>
      </c>
      <c r="B36" s="162"/>
      <c r="C36" s="162"/>
      <c r="D36" s="162"/>
      <c r="E36" s="162"/>
      <c r="F36" s="162"/>
      <c r="G36" s="162"/>
      <c r="H36" s="162"/>
      <c r="I36" s="162"/>
      <c r="J36" s="102"/>
      <c r="K36" s="102"/>
      <c r="L36" s="102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</row>
    <row r="37" spans="1:34" ht="32.1" customHeight="1" x14ac:dyDescent="0.2">
      <c r="A37" s="171" t="s">
        <v>258</v>
      </c>
      <c r="B37" s="172"/>
      <c r="C37" s="173"/>
      <c r="D37" s="164" t="s">
        <v>314</v>
      </c>
      <c r="E37" s="164"/>
      <c r="F37" s="164"/>
      <c r="G37" s="164" t="s">
        <v>315</v>
      </c>
      <c r="H37" s="164"/>
      <c r="I37" s="164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</row>
    <row r="38" spans="1:34" ht="23.1" customHeight="1" x14ac:dyDescent="0.2">
      <c r="A38" s="165" t="s">
        <v>316</v>
      </c>
      <c r="B38" s="166"/>
      <c r="C38" s="167"/>
      <c r="D38" s="163">
        <f>C7</f>
        <v>3000</v>
      </c>
      <c r="E38" s="163"/>
      <c r="F38" s="163"/>
      <c r="G38" s="163">
        <v>3000</v>
      </c>
      <c r="H38" s="163"/>
      <c r="I38" s="163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</row>
    <row r="39" spans="1:34" ht="23.1" customHeight="1" x14ac:dyDescent="0.2">
      <c r="A39" s="165" t="s">
        <v>284</v>
      </c>
      <c r="B39" s="166"/>
      <c r="C39" s="167"/>
      <c r="D39" s="163">
        <f>I8</f>
        <v>6</v>
      </c>
      <c r="E39" s="163"/>
      <c r="F39" s="163"/>
      <c r="G39" s="163">
        <v>6</v>
      </c>
      <c r="H39" s="163"/>
      <c r="I39" s="163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</row>
    <row r="40" spans="1:34" ht="23.1" customHeight="1" x14ac:dyDescent="0.2">
      <c r="A40" s="165" t="s">
        <v>317</v>
      </c>
      <c r="B40" s="166"/>
      <c r="C40" s="167"/>
      <c r="D40" s="163">
        <f>C5</f>
        <v>20</v>
      </c>
      <c r="E40" s="163"/>
      <c r="F40" s="163"/>
      <c r="G40" s="163">
        <v>20</v>
      </c>
      <c r="H40" s="163"/>
      <c r="I40" s="163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</row>
    <row r="41" spans="1:34" ht="23.1" customHeight="1" x14ac:dyDescent="0.2">
      <c r="A41" s="165" t="s">
        <v>19</v>
      </c>
      <c r="B41" s="166"/>
      <c r="C41" s="167"/>
      <c r="D41" s="163">
        <f>C6</f>
        <v>18</v>
      </c>
      <c r="E41" s="163"/>
      <c r="F41" s="163"/>
      <c r="G41" s="163">
        <v>18</v>
      </c>
      <c r="H41" s="163"/>
      <c r="I41" s="163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</row>
    <row r="42" spans="1:34" ht="23.1" customHeight="1" x14ac:dyDescent="0.2">
      <c r="A42" s="165" t="s">
        <v>264</v>
      </c>
      <c r="B42" s="166"/>
      <c r="C42" s="167"/>
      <c r="D42" s="163">
        <f>M34</f>
        <v>4925.7195434409223</v>
      </c>
      <c r="E42" s="163"/>
      <c r="F42" s="163"/>
      <c r="G42" s="163">
        <v>4925.72</v>
      </c>
      <c r="H42" s="163"/>
      <c r="I42" s="163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</row>
    <row r="43" spans="1:34" ht="23.1" customHeight="1" x14ac:dyDescent="0.2">
      <c r="A43" s="165" t="s">
        <v>271</v>
      </c>
      <c r="B43" s="166"/>
      <c r="C43" s="167"/>
      <c r="D43" s="163">
        <f>Y34</f>
        <v>1416.3118333749567</v>
      </c>
      <c r="E43" s="163"/>
      <c r="F43" s="163"/>
      <c r="G43" s="163">
        <v>1416.31</v>
      </c>
      <c r="H43" s="163"/>
      <c r="I43" s="163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</row>
    <row r="44" spans="1:34" ht="23.1" customHeight="1" x14ac:dyDescent="0.2">
      <c r="A44" s="165" t="s">
        <v>275</v>
      </c>
      <c r="B44" s="166"/>
      <c r="C44" s="167"/>
      <c r="D44" s="163">
        <f>O34</f>
        <v>1727.2095528962889</v>
      </c>
      <c r="E44" s="163"/>
      <c r="F44" s="163"/>
      <c r="G44" s="163">
        <v>1727.21</v>
      </c>
      <c r="H44" s="163"/>
      <c r="I44" s="163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</row>
    <row r="45" spans="1:34" ht="23.1" customHeight="1" x14ac:dyDescent="0.2">
      <c r="A45" s="165" t="s">
        <v>318</v>
      </c>
      <c r="B45" s="166"/>
      <c r="C45" s="167"/>
      <c r="D45" s="163">
        <f>P34</f>
        <v>23071.994241140281</v>
      </c>
      <c r="E45" s="163"/>
      <c r="F45" s="163"/>
      <c r="G45" s="163">
        <v>23071.99</v>
      </c>
      <c r="H45" s="163"/>
      <c r="I45" s="163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</row>
    <row r="46" spans="1:34" ht="23.1" customHeight="1" x14ac:dyDescent="0.2">
      <c r="A46" s="165" t="s">
        <v>319</v>
      </c>
      <c r="B46" s="166"/>
      <c r="C46" s="167"/>
      <c r="D46" s="163">
        <f>R34</f>
        <v>27385.733089368347</v>
      </c>
      <c r="E46" s="163"/>
      <c r="F46" s="163"/>
      <c r="G46" s="163">
        <v>27385.73</v>
      </c>
      <c r="H46" s="163"/>
      <c r="I46" s="163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</row>
    <row r="47" spans="1:34" ht="23.1" customHeight="1" x14ac:dyDescent="0.2">
      <c r="A47" s="165" t="s">
        <v>60</v>
      </c>
      <c r="B47" s="166"/>
      <c r="C47" s="167"/>
      <c r="D47" s="163">
        <f>U34</f>
        <v>310.89771952133202</v>
      </c>
      <c r="E47" s="163"/>
      <c r="F47" s="163"/>
      <c r="G47" s="163">
        <v>310.89999999999998</v>
      </c>
      <c r="H47" s="163"/>
      <c r="I47" s="163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</row>
    <row r="48" spans="1:34" ht="23.1" customHeight="1" x14ac:dyDescent="0.2">
      <c r="A48" s="165" t="s">
        <v>62</v>
      </c>
      <c r="B48" s="166"/>
      <c r="C48" s="167"/>
      <c r="D48" s="163">
        <f>W34</f>
        <v>1029.9258192674424</v>
      </c>
      <c r="E48" s="163"/>
      <c r="F48" s="163"/>
      <c r="G48" s="163">
        <v>1029.93</v>
      </c>
      <c r="H48" s="163"/>
      <c r="I48" s="163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</row>
    <row r="49" spans="1:34" ht="23.1" customHeight="1" x14ac:dyDescent="0.2">
      <c r="A49" s="165" t="s">
        <v>281</v>
      </c>
      <c r="B49" s="166"/>
      <c r="C49" s="167"/>
      <c r="D49" s="163">
        <f>X34</f>
        <v>1429.9258192670422</v>
      </c>
      <c r="E49" s="163"/>
      <c r="F49" s="163"/>
      <c r="G49" s="163">
        <v>1429.93</v>
      </c>
      <c r="H49" s="163"/>
      <c r="I49" s="163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</row>
    <row r="50" spans="1:34" ht="23.1" customHeight="1" x14ac:dyDescent="0.2">
      <c r="A50" s="165" t="s">
        <v>286</v>
      </c>
      <c r="B50" s="166"/>
      <c r="C50" s="167"/>
      <c r="D50" s="163">
        <f>Z34</f>
        <v>1740.823538788374</v>
      </c>
      <c r="E50" s="163"/>
      <c r="F50" s="163"/>
      <c r="G50" s="163">
        <v>1740.82</v>
      </c>
      <c r="H50" s="163"/>
      <c r="I50" s="163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</row>
    <row r="51" spans="1:34" ht="21" customHeight="1" x14ac:dyDescent="0.2">
      <c r="A51" s="87"/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87"/>
      <c r="AE51" s="87"/>
      <c r="AF51" s="87"/>
      <c r="AG51" s="87"/>
      <c r="AH51" s="87"/>
    </row>
    <row r="52" spans="1:34" ht="27.95" customHeight="1" x14ac:dyDescent="0.2">
      <c r="A52" s="168"/>
      <c r="B52" s="168"/>
      <c r="C52" s="168"/>
      <c r="D52" s="168"/>
      <c r="E52" s="168"/>
      <c r="F52" s="168"/>
      <c r="G52" s="168"/>
      <c r="H52" s="168"/>
      <c r="I52" s="168"/>
      <c r="J52" s="168"/>
      <c r="K52" s="168"/>
      <c r="L52" s="168"/>
      <c r="M52" s="168"/>
      <c r="N52" s="168"/>
      <c r="O52" s="168"/>
      <c r="P52" s="168"/>
      <c r="Q52" s="168"/>
      <c r="R52" s="168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87"/>
      <c r="AH52" s="87"/>
    </row>
    <row r="53" spans="1:34" ht="21" customHeight="1" x14ac:dyDescent="0.2">
      <c r="A53" s="87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</row>
    <row r="54" spans="1:34" ht="21" customHeight="1" x14ac:dyDescent="0.2">
      <c r="A54" s="87"/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</row>
    <row r="55" spans="1:34" ht="21" customHeight="1" x14ac:dyDescent="0.2">
      <c r="A55" s="87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</row>
    <row r="56" spans="1:34" ht="21" customHeight="1" x14ac:dyDescent="0.2">
      <c r="A56" s="87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</row>
  </sheetData>
  <sheetProtection algorithmName="SHA-512" hashValue="FVW+t7AdiSSJx59cOexHjK4ett7zWB34Ue+0I6J3kqLYaDWTTTFB/k3wS16dE+TSDcprcIy5BMqjZCZDB1bpgQ==" saltValue="wMB4wQYrvRoltk9JSMJmLA==" spinCount="100000" sheet="1" objects="1" scenarios="1"/>
  <mergeCells count="92">
    <mergeCell ref="T3:V3"/>
    <mergeCell ref="T4:V4"/>
    <mergeCell ref="T6:V6"/>
    <mergeCell ref="T8:V8"/>
    <mergeCell ref="A1:V1"/>
    <mergeCell ref="A2:V2"/>
    <mergeCell ref="A52:R52"/>
    <mergeCell ref="A4:B4"/>
    <mergeCell ref="A5:B5"/>
    <mergeCell ref="A6:B6"/>
    <mergeCell ref="A7:B7"/>
    <mergeCell ref="A8:B8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D50:F50"/>
    <mergeCell ref="G50:I50"/>
    <mergeCell ref="A50:C50"/>
    <mergeCell ref="D49:F49"/>
    <mergeCell ref="G49:I49"/>
    <mergeCell ref="A49:C49"/>
    <mergeCell ref="D48:F48"/>
    <mergeCell ref="G48:I48"/>
    <mergeCell ref="A48:C48"/>
    <mergeCell ref="D47:F47"/>
    <mergeCell ref="G47:I47"/>
    <mergeCell ref="A47:C47"/>
    <mergeCell ref="D46:F46"/>
    <mergeCell ref="G46:I46"/>
    <mergeCell ref="D45:F45"/>
    <mergeCell ref="G45:I45"/>
    <mergeCell ref="D44:F44"/>
    <mergeCell ref="G44:I44"/>
    <mergeCell ref="D43:F43"/>
    <mergeCell ref="G43:I43"/>
    <mergeCell ref="D42:F42"/>
    <mergeCell ref="G42:I42"/>
    <mergeCell ref="D41:F41"/>
    <mergeCell ref="G41:I41"/>
    <mergeCell ref="D40:F40"/>
    <mergeCell ref="G40:I40"/>
    <mergeCell ref="D39:F39"/>
    <mergeCell ref="G39:I39"/>
    <mergeCell ref="D38:F38"/>
    <mergeCell ref="G38:I38"/>
    <mergeCell ref="D37:F37"/>
    <mergeCell ref="G37:I37"/>
    <mergeCell ref="A36:I36"/>
    <mergeCell ref="P8:Q8"/>
    <mergeCell ref="R8:S8"/>
    <mergeCell ref="D8:E8"/>
    <mergeCell ref="F8:H8"/>
    <mergeCell ref="J8:K8"/>
    <mergeCell ref="L8:O8"/>
    <mergeCell ref="P6:Q6"/>
    <mergeCell ref="D7:E7"/>
    <mergeCell ref="F7:H7"/>
    <mergeCell ref="J7:K7"/>
    <mergeCell ref="L7:O7"/>
    <mergeCell ref="P7:Q7"/>
    <mergeCell ref="D6:E6"/>
    <mergeCell ref="F6:H6"/>
    <mergeCell ref="P4:Q4"/>
    <mergeCell ref="R4:S4"/>
    <mergeCell ref="R5:S5"/>
    <mergeCell ref="R6:S6"/>
    <mergeCell ref="R7:S7"/>
    <mergeCell ref="F5:H5"/>
    <mergeCell ref="J5:K5"/>
    <mergeCell ref="L5:O5"/>
    <mergeCell ref="P5:Q5"/>
    <mergeCell ref="J6:K6"/>
    <mergeCell ref="L6:O6"/>
    <mergeCell ref="D4:E4"/>
    <mergeCell ref="F4:H4"/>
    <mergeCell ref="J4:K4"/>
    <mergeCell ref="L4:O4"/>
    <mergeCell ref="D3:E3"/>
    <mergeCell ref="F3:H3"/>
    <mergeCell ref="J3:K3"/>
    <mergeCell ref="L3:O3"/>
    <mergeCell ref="P3:Q3"/>
    <mergeCell ref="R3:S3"/>
    <mergeCell ref="A3:B3"/>
    <mergeCell ref="D5:E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F766E"/>
  </sheetPr>
  <dimension ref="A1:AH56"/>
  <sheetViews>
    <sheetView showGridLines="0" workbookViewId="0">
      <pane xSplit="2" ySplit="12" topLeftCell="C13" activePane="bottomRight" state="frozen"/>
      <selection pane="topRight"/>
      <selection pane="bottomLeft"/>
      <selection pane="bottomRight" activeCell="X5" sqref="X5"/>
    </sheetView>
  </sheetViews>
  <sheetFormatPr defaultRowHeight="12.75" x14ac:dyDescent="0.2"/>
  <cols>
    <col min="1" max="1" width="6" customWidth="1"/>
    <col min="2" max="2" width="26" customWidth="1"/>
    <col min="3" max="3" width="20" customWidth="1"/>
    <col min="4" max="4" width="19" customWidth="1"/>
    <col min="5" max="5" width="12" customWidth="1"/>
    <col min="6" max="6" width="17" customWidth="1"/>
    <col min="7" max="7" width="12" customWidth="1"/>
    <col min="8" max="8" width="15" customWidth="1"/>
    <col min="9" max="11" width="16" customWidth="1"/>
    <col min="12" max="12" width="12" customWidth="1"/>
    <col min="13" max="13" width="18" customWidth="1"/>
    <col min="14" max="14" width="12" customWidth="1"/>
    <col min="15" max="15" width="16" customWidth="1"/>
    <col min="16" max="16" width="18" customWidth="1"/>
    <col min="17" max="17" width="16" customWidth="1"/>
    <col min="18" max="18" width="18" customWidth="1"/>
    <col min="19" max="19" width="16" customWidth="1"/>
    <col min="20" max="20" width="12" customWidth="1"/>
    <col min="21" max="22" width="16" customWidth="1"/>
    <col min="23" max="26" width="18" customWidth="1"/>
    <col min="27" max="27" width="20" customWidth="1"/>
    <col min="28" max="30" width="18" customWidth="1"/>
    <col min="31" max="31" width="14" customWidth="1"/>
    <col min="32" max="32" width="3" customWidth="1"/>
    <col min="33" max="34" width="12" customWidth="1"/>
  </cols>
  <sheetData>
    <row r="1" spans="1:34" ht="27.95" customHeight="1" x14ac:dyDescent="0.2">
      <c r="A1" s="156" t="s">
        <v>326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</row>
    <row r="2" spans="1:34" ht="27.95" customHeight="1" x14ac:dyDescent="0.2">
      <c r="A2" s="185" t="s">
        <v>255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7"/>
      <c r="W2" s="187"/>
      <c r="X2" s="187"/>
      <c r="Y2" s="187"/>
      <c r="Z2" s="187"/>
      <c r="AA2" s="187"/>
      <c r="AB2" s="187"/>
      <c r="AC2" s="187"/>
      <c r="AD2" s="187"/>
      <c r="AE2" s="187"/>
      <c r="AF2" s="187"/>
      <c r="AG2" s="187"/>
      <c r="AH2" s="187"/>
    </row>
    <row r="3" spans="1:34" ht="26.1" customHeight="1" x14ac:dyDescent="0.2">
      <c r="A3" s="158" t="s">
        <v>2</v>
      </c>
      <c r="B3" s="159"/>
      <c r="C3" s="88" t="s">
        <v>3</v>
      </c>
      <c r="D3" s="157" t="s">
        <v>256</v>
      </c>
      <c r="E3" s="157"/>
      <c r="F3" s="157" t="s">
        <v>2</v>
      </c>
      <c r="G3" s="157"/>
      <c r="H3" s="157"/>
      <c r="I3" s="88" t="s">
        <v>3</v>
      </c>
      <c r="J3" s="157" t="s">
        <v>256</v>
      </c>
      <c r="K3" s="157"/>
      <c r="L3" s="157" t="s">
        <v>257</v>
      </c>
      <c r="M3" s="157"/>
      <c r="N3" s="157"/>
      <c r="O3" s="157"/>
      <c r="P3" s="157" t="s">
        <v>3</v>
      </c>
      <c r="Q3" s="157"/>
      <c r="R3" s="157" t="s">
        <v>258</v>
      </c>
      <c r="S3" s="157"/>
      <c r="T3" s="175" t="s">
        <v>259</v>
      </c>
      <c r="U3" s="176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9"/>
    </row>
    <row r="4" spans="1:34" ht="38.1" customHeight="1" x14ac:dyDescent="0.2">
      <c r="A4" s="169" t="s">
        <v>327</v>
      </c>
      <c r="B4" s="170"/>
      <c r="C4" s="89">
        <f>M34/F34*100</f>
        <v>23.094804057501182</v>
      </c>
      <c r="D4" s="161" t="s">
        <v>328</v>
      </c>
      <c r="E4" s="161"/>
      <c r="F4" s="161" t="s">
        <v>262</v>
      </c>
      <c r="G4" s="161"/>
      <c r="H4" s="161"/>
      <c r="I4" s="89">
        <f>'Модель 0-0'!I4</f>
        <v>20</v>
      </c>
      <c r="J4" s="161" t="s">
        <v>263</v>
      </c>
      <c r="K4" s="161"/>
      <c r="L4" s="161" t="s">
        <v>264</v>
      </c>
      <c r="M4" s="161"/>
      <c r="N4" s="161"/>
      <c r="O4" s="161"/>
      <c r="P4" s="160">
        <f>M34</f>
        <v>2878.6825881604818</v>
      </c>
      <c r="Q4" s="160"/>
      <c r="R4" s="161" t="s">
        <v>265</v>
      </c>
      <c r="S4" s="161"/>
      <c r="T4" s="177" t="s">
        <v>329</v>
      </c>
      <c r="U4" s="178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1"/>
    </row>
    <row r="5" spans="1:34" ht="38.1" customHeight="1" x14ac:dyDescent="0.2">
      <c r="A5" s="169" t="s">
        <v>267</v>
      </c>
      <c r="B5" s="170"/>
      <c r="C5" s="89">
        <f>'Модель 0-0'!C5</f>
        <v>20</v>
      </c>
      <c r="D5" s="161" t="s">
        <v>268</v>
      </c>
      <c r="E5" s="161"/>
      <c r="F5" s="161" t="s">
        <v>269</v>
      </c>
      <c r="G5" s="161"/>
      <c r="H5" s="161"/>
      <c r="I5" s="89">
        <f>'Модель 0-0'!I5</f>
        <v>20</v>
      </c>
      <c r="J5" s="161" t="s">
        <v>270</v>
      </c>
      <c r="K5" s="161"/>
      <c r="L5" s="161" t="s">
        <v>271</v>
      </c>
      <c r="M5" s="161"/>
      <c r="N5" s="161"/>
      <c r="O5" s="161"/>
      <c r="P5" s="160">
        <f>Y34</f>
        <v>0</v>
      </c>
      <c r="Q5" s="160"/>
      <c r="R5" s="161" t="s">
        <v>265</v>
      </c>
      <c r="S5" s="161"/>
      <c r="T5" s="116"/>
      <c r="U5" s="117"/>
      <c r="V5" s="187"/>
      <c r="W5" s="187"/>
      <c r="X5" s="187"/>
      <c r="Y5" s="187"/>
      <c r="Z5" s="187"/>
      <c r="AA5" s="187"/>
      <c r="AB5" s="187"/>
      <c r="AC5" s="187"/>
      <c r="AD5" s="187"/>
      <c r="AE5" s="187"/>
      <c r="AF5" s="187"/>
      <c r="AG5" s="192"/>
    </row>
    <row r="6" spans="1:34" ht="38.1" customHeight="1" x14ac:dyDescent="0.2">
      <c r="A6" s="169" t="s">
        <v>19</v>
      </c>
      <c r="B6" s="170"/>
      <c r="C6" s="89">
        <f>'Модель 0-0'!C6</f>
        <v>18</v>
      </c>
      <c r="D6" s="161" t="s">
        <v>272</v>
      </c>
      <c r="E6" s="161"/>
      <c r="F6" s="161" t="s">
        <v>323</v>
      </c>
      <c r="G6" s="161"/>
      <c r="H6" s="161"/>
      <c r="I6" s="89">
        <f>O34/(F34+M34)*100</f>
        <v>0</v>
      </c>
      <c r="J6" s="161" t="s">
        <v>324</v>
      </c>
      <c r="K6" s="161"/>
      <c r="L6" s="161" t="s">
        <v>275</v>
      </c>
      <c r="M6" s="161"/>
      <c r="N6" s="161"/>
      <c r="O6" s="161"/>
      <c r="P6" s="160">
        <f>O34</f>
        <v>0</v>
      </c>
      <c r="Q6" s="160"/>
      <c r="R6" s="161" t="s">
        <v>265</v>
      </c>
      <c r="S6" s="161"/>
      <c r="T6" s="179" t="s">
        <v>330</v>
      </c>
      <c r="U6" s="180"/>
      <c r="V6" s="187"/>
      <c r="W6" s="187"/>
      <c r="X6" s="187"/>
      <c r="Y6" s="187"/>
      <c r="Z6" s="187"/>
      <c r="AA6" s="187"/>
      <c r="AB6" s="187"/>
      <c r="AC6" s="187"/>
      <c r="AD6" s="187"/>
      <c r="AE6" s="187"/>
      <c r="AF6" s="187"/>
      <c r="AG6" s="192"/>
    </row>
    <row r="7" spans="1:34" ht="38.1" customHeight="1" x14ac:dyDescent="0.2">
      <c r="A7" s="169" t="s">
        <v>277</v>
      </c>
      <c r="B7" s="170"/>
      <c r="C7" s="89">
        <f>'Модель 0-0'!C7</f>
        <v>3000</v>
      </c>
      <c r="D7" s="161" t="s">
        <v>278</v>
      </c>
      <c r="E7" s="161"/>
      <c r="F7" s="161" t="s">
        <v>279</v>
      </c>
      <c r="G7" s="161"/>
      <c r="H7" s="161"/>
      <c r="I7" s="89">
        <f>C7</f>
        <v>3000</v>
      </c>
      <c r="J7" s="161" t="s">
        <v>280</v>
      </c>
      <c r="K7" s="161"/>
      <c r="L7" s="161" t="s">
        <v>281</v>
      </c>
      <c r="M7" s="161"/>
      <c r="N7" s="161"/>
      <c r="O7" s="161"/>
      <c r="P7" s="160">
        <f>X34</f>
        <v>756.13651763169651</v>
      </c>
      <c r="Q7" s="160"/>
      <c r="R7" s="161" t="s">
        <v>265</v>
      </c>
      <c r="S7" s="161"/>
      <c r="T7" s="116"/>
      <c r="U7" s="117"/>
      <c r="V7" s="187"/>
      <c r="W7" s="187"/>
      <c r="X7" s="187"/>
      <c r="Y7" s="187"/>
      <c r="Z7" s="187"/>
      <c r="AA7" s="187"/>
      <c r="AB7" s="187"/>
      <c r="AC7" s="187"/>
      <c r="AD7" s="187"/>
      <c r="AE7" s="187"/>
      <c r="AF7" s="187"/>
      <c r="AG7" s="192"/>
    </row>
    <row r="8" spans="1:34" ht="38.1" customHeight="1" x14ac:dyDescent="0.2">
      <c r="A8" s="169" t="s">
        <v>282</v>
      </c>
      <c r="B8" s="170"/>
      <c r="C8" s="89">
        <f>'Модель 0-0'!C8</f>
        <v>0</v>
      </c>
      <c r="D8" s="161" t="s">
        <v>283</v>
      </c>
      <c r="E8" s="161"/>
      <c r="F8" s="161" t="s">
        <v>284</v>
      </c>
      <c r="G8" s="161"/>
      <c r="H8" s="161"/>
      <c r="I8" s="91">
        <f>'Модель 0-0'!I8</f>
        <v>6</v>
      </c>
      <c r="J8" s="161" t="s">
        <v>285</v>
      </c>
      <c r="K8" s="161"/>
      <c r="L8" s="161" t="s">
        <v>286</v>
      </c>
      <c r="M8" s="161"/>
      <c r="N8" s="161"/>
      <c r="O8" s="161"/>
      <c r="P8" s="160">
        <f>Z34</f>
        <v>756.13651763169651</v>
      </c>
      <c r="Q8" s="160"/>
      <c r="R8" s="161" t="s">
        <v>265</v>
      </c>
      <c r="S8" s="161"/>
      <c r="T8" s="181" t="s">
        <v>287</v>
      </c>
      <c r="U8" s="182"/>
      <c r="V8" s="193"/>
      <c r="W8" s="193"/>
      <c r="X8" s="193"/>
      <c r="Y8" s="193"/>
      <c r="Z8" s="193"/>
      <c r="AA8" s="193"/>
      <c r="AB8" s="193"/>
      <c r="AC8" s="193"/>
      <c r="AD8" s="193"/>
      <c r="AE8" s="193"/>
      <c r="AF8" s="193"/>
      <c r="AG8" s="194"/>
    </row>
    <row r="9" spans="1:34" ht="6.95" customHeight="1" x14ac:dyDescent="0.2">
      <c r="A9" s="87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</row>
    <row r="10" spans="1:34" ht="6.95" customHeight="1" x14ac:dyDescent="0.2">
      <c r="A10" s="87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</row>
    <row r="11" spans="1:34" ht="6.95" customHeight="1" x14ac:dyDescent="0.2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</row>
    <row r="12" spans="1:34" ht="60" customHeight="1" x14ac:dyDescent="0.2">
      <c r="A12" s="92" t="s">
        <v>40</v>
      </c>
      <c r="B12" s="92" t="s">
        <v>42</v>
      </c>
      <c r="C12" s="92" t="s">
        <v>45</v>
      </c>
      <c r="D12" s="92" t="s">
        <v>44</v>
      </c>
      <c r="E12" s="92" t="s">
        <v>41</v>
      </c>
      <c r="F12" s="92" t="s">
        <v>46</v>
      </c>
      <c r="G12" s="92" t="s">
        <v>288</v>
      </c>
      <c r="H12" s="92" t="s">
        <v>48</v>
      </c>
      <c r="I12" s="92" t="s">
        <v>289</v>
      </c>
      <c r="J12" s="92" t="s">
        <v>50</v>
      </c>
      <c r="K12" s="92" t="s">
        <v>290</v>
      </c>
      <c r="L12" s="92" t="s">
        <v>291</v>
      </c>
      <c r="M12" s="92" t="s">
        <v>264</v>
      </c>
      <c r="N12" s="92" t="s">
        <v>273</v>
      </c>
      <c r="O12" s="92" t="s">
        <v>292</v>
      </c>
      <c r="P12" s="92" t="s">
        <v>293</v>
      </c>
      <c r="Q12" s="92" t="s">
        <v>294</v>
      </c>
      <c r="R12" s="92" t="s">
        <v>295</v>
      </c>
      <c r="S12" s="92" t="s">
        <v>59</v>
      </c>
      <c r="T12" s="92" t="s">
        <v>296</v>
      </c>
      <c r="U12" s="92" t="s">
        <v>60</v>
      </c>
      <c r="V12" s="92" t="s">
        <v>61</v>
      </c>
      <c r="W12" s="92" t="s">
        <v>62</v>
      </c>
      <c r="X12" s="92" t="s">
        <v>281</v>
      </c>
      <c r="Y12" s="92" t="s">
        <v>297</v>
      </c>
      <c r="Z12" s="92" t="s">
        <v>286</v>
      </c>
      <c r="AA12" s="92" t="s">
        <v>65</v>
      </c>
      <c r="AB12" s="92" t="s">
        <v>298</v>
      </c>
      <c r="AC12" s="92" t="s">
        <v>66</v>
      </c>
      <c r="AD12" s="92" t="s">
        <v>299</v>
      </c>
      <c r="AE12" s="92" t="s">
        <v>300</v>
      </c>
      <c r="AF12" s="87"/>
      <c r="AG12" s="87"/>
      <c r="AH12" s="87"/>
    </row>
    <row r="13" spans="1:34" ht="27.95" customHeight="1" x14ac:dyDescent="0.2">
      <c r="A13" s="94">
        <v>1</v>
      </c>
      <c r="B13" s="93" t="s">
        <v>301</v>
      </c>
      <c r="C13" s="93" t="s">
        <v>77</v>
      </c>
      <c r="D13" s="93" t="s">
        <v>75</v>
      </c>
      <c r="E13" s="95">
        <f>'Модель 0-0'!E13</f>
        <v>33.333333333299997</v>
      </c>
      <c r="F13" s="95">
        <f>$C$7*E13/100</f>
        <v>999.9999999989999</v>
      </c>
      <c r="G13" s="95">
        <f>IF($D13="Експорт",$C$8,$C$5)</f>
        <v>20</v>
      </c>
      <c r="H13" s="95">
        <f>IF($C13="Імпорт",$F13*$I$4/100,0)</f>
        <v>199.9999999998</v>
      </c>
      <c r="I13" s="95">
        <f>IF($C13="Зовнішній ПДВ",$F13*$I$5/100,0)</f>
        <v>0</v>
      </c>
      <c r="J13" s="95">
        <f>0</f>
        <v>0</v>
      </c>
      <c r="K13" s="95">
        <f>H13+I13+J13</f>
        <v>199.9999999998</v>
      </c>
      <c r="L13" s="95">
        <f>M13/F13*100</f>
        <v>20</v>
      </c>
      <c r="M13" s="95">
        <f>'Модель 0-0'!M13</f>
        <v>199.9999999998</v>
      </c>
      <c r="N13" s="95">
        <f>O13/(F13+M13)*100</f>
        <v>0</v>
      </c>
      <c r="O13" s="95">
        <f>0</f>
        <v>0</v>
      </c>
      <c r="P13" s="95">
        <f>F13+M13+O13</f>
        <v>1199.9999999987999</v>
      </c>
      <c r="Q13" s="95">
        <f>P13*G13/100</f>
        <v>239.99999999975998</v>
      </c>
      <c r="R13" s="95">
        <f>P13+Q13</f>
        <v>1439.9999999985598</v>
      </c>
      <c r="S13" s="95">
        <f>O13</f>
        <v>0</v>
      </c>
      <c r="T13" s="95">
        <f>$C$6</f>
        <v>18</v>
      </c>
      <c r="U13" s="95">
        <f>S13*T13/100</f>
        <v>0</v>
      </c>
      <c r="V13" s="95">
        <f>S13-U13</f>
        <v>0</v>
      </c>
      <c r="W13" s="95">
        <f>Q13-K13</f>
        <v>39.999999999959982</v>
      </c>
      <c r="X13" s="95">
        <f>H13+W13</f>
        <v>239.99999999975998</v>
      </c>
      <c r="Y13" s="95">
        <f>V13</f>
        <v>0</v>
      </c>
      <c r="Z13" s="95">
        <f>X13+U13</f>
        <v>239.99999999975998</v>
      </c>
      <c r="AA13" s="95">
        <f>IF($D13&lt;&gt;"Перехід",R13,0)</f>
        <v>0</v>
      </c>
      <c r="AB13" s="95" t="str">
        <f>IF(AA13=0,"",(AA13)/$I$7*100-100)</f>
        <v/>
      </c>
      <c r="AC13" s="95">
        <f t="shared" ref="AC13:AD15" si="0">IF($D13="Перехід",P13,0)</f>
        <v>1199.9999999987999</v>
      </c>
      <c r="AD13" s="95">
        <f t="shared" si="0"/>
        <v>239.99999999975998</v>
      </c>
      <c r="AE13" s="94" t="str">
        <f>""</f>
        <v/>
      </c>
      <c r="AF13" s="87"/>
      <c r="AG13" s="87"/>
      <c r="AH13" s="87"/>
    </row>
    <row r="14" spans="1:34" ht="27.95" customHeight="1" x14ac:dyDescent="0.2">
      <c r="A14" s="94">
        <v>1</v>
      </c>
      <c r="B14" s="93" t="s">
        <v>302</v>
      </c>
      <c r="C14" s="93" t="s">
        <v>77</v>
      </c>
      <c r="D14" s="93" t="s">
        <v>75</v>
      </c>
      <c r="E14" s="95">
        <f>'Модель 0-0'!E14</f>
        <v>33.333333333299997</v>
      </c>
      <c r="F14" s="95">
        <f>$C$7*E14/100</f>
        <v>999.9999999989999</v>
      </c>
      <c r="G14" s="95">
        <f>IF($D14="Експорт",$C$8,$C$5)</f>
        <v>20</v>
      </c>
      <c r="H14" s="95">
        <f>IF($C14="Імпорт",$F14*$I$4/100,0)</f>
        <v>199.9999999998</v>
      </c>
      <c r="I14" s="95">
        <f>IF($C14="Зовнішній ПДВ",$F14*$I$5/100,0)</f>
        <v>0</v>
      </c>
      <c r="J14" s="95">
        <f>0</f>
        <v>0</v>
      </c>
      <c r="K14" s="95">
        <f>H14+I14+J14</f>
        <v>199.9999999998</v>
      </c>
      <c r="L14" s="95">
        <f>M14/F14*100</f>
        <v>20</v>
      </c>
      <c r="M14" s="95">
        <f>'Модель 0-0'!M14</f>
        <v>199.9999999998</v>
      </c>
      <c r="N14" s="95">
        <f>O14/(F14+M14)*100</f>
        <v>0</v>
      </c>
      <c r="O14" s="95">
        <f>0</f>
        <v>0</v>
      </c>
      <c r="P14" s="95">
        <f>F14+M14+O14</f>
        <v>1199.9999999987999</v>
      </c>
      <c r="Q14" s="95">
        <f>P14*G14/100</f>
        <v>239.99999999975998</v>
      </c>
      <c r="R14" s="95">
        <f>P14+Q14</f>
        <v>1439.9999999985598</v>
      </c>
      <c r="S14" s="95">
        <f>O14</f>
        <v>0</v>
      </c>
      <c r="T14" s="95">
        <f>$C$6</f>
        <v>18</v>
      </c>
      <c r="U14" s="95">
        <f>S14*T14/100</f>
        <v>0</v>
      </c>
      <c r="V14" s="95">
        <f>S14-U14</f>
        <v>0</v>
      </c>
      <c r="W14" s="95">
        <f>Q14-K14</f>
        <v>39.999999999959982</v>
      </c>
      <c r="X14" s="95">
        <f>H14+W14</f>
        <v>239.99999999975998</v>
      </c>
      <c r="Y14" s="95">
        <f>V14</f>
        <v>0</v>
      </c>
      <c r="Z14" s="95">
        <f>X14+U14</f>
        <v>239.99999999975998</v>
      </c>
      <c r="AA14" s="95">
        <f>IF($D14&lt;&gt;"Перехід",R14,0)</f>
        <v>0</v>
      </c>
      <c r="AB14" s="95" t="str">
        <f>IF(AA14=0,"",(AA13+AA14)/$I$7*100-100)</f>
        <v/>
      </c>
      <c r="AC14" s="95">
        <f t="shared" si="0"/>
        <v>1199.9999999987999</v>
      </c>
      <c r="AD14" s="95">
        <f t="shared" si="0"/>
        <v>239.99999999975998</v>
      </c>
      <c r="AE14" s="94" t="str">
        <f>""</f>
        <v/>
      </c>
      <c r="AF14" s="87"/>
      <c r="AG14" s="87"/>
      <c r="AH14" s="87"/>
    </row>
    <row r="15" spans="1:34" ht="27.95" customHeight="1" x14ac:dyDescent="0.2">
      <c r="A15" s="94">
        <v>1</v>
      </c>
      <c r="B15" s="93" t="s">
        <v>81</v>
      </c>
      <c r="C15" s="93" t="s">
        <v>303</v>
      </c>
      <c r="D15" s="93" t="s">
        <v>75</v>
      </c>
      <c r="E15" s="95">
        <f>'Модель 0-0'!E15</f>
        <v>33.333333333399999</v>
      </c>
      <c r="F15" s="95">
        <f>$C$7*E15/100</f>
        <v>1000.000000002</v>
      </c>
      <c r="G15" s="95">
        <f>IF($D15="Експорт",$C$8,$C$5)</f>
        <v>20</v>
      </c>
      <c r="H15" s="95">
        <f>IF($C15="Імпорт",$F15*$I$4/100,0)</f>
        <v>0</v>
      </c>
      <c r="I15" s="95">
        <f>IF($C15="Зовнішній ПДВ",$F15*$I$5/100,0)</f>
        <v>200.00000000040001</v>
      </c>
      <c r="J15" s="95">
        <f>0</f>
        <v>0</v>
      </c>
      <c r="K15" s="95">
        <f>H15+I15+J15</f>
        <v>200.00000000040001</v>
      </c>
      <c r="L15" s="95">
        <f>M15/F15*100</f>
        <v>20</v>
      </c>
      <c r="M15" s="95">
        <f>'Модель 0-0'!M15</f>
        <v>200.00000000040001</v>
      </c>
      <c r="N15" s="95">
        <f>O15/(F15+M15)*100</f>
        <v>0</v>
      </c>
      <c r="O15" s="95">
        <f>0</f>
        <v>0</v>
      </c>
      <c r="P15" s="95">
        <f>F15+M15+O15</f>
        <v>1200.0000000023999</v>
      </c>
      <c r="Q15" s="95">
        <f>P15*G15/100</f>
        <v>240.00000000047999</v>
      </c>
      <c r="R15" s="95">
        <f>P15+Q15</f>
        <v>1440.0000000028799</v>
      </c>
      <c r="S15" s="95">
        <f>O15</f>
        <v>0</v>
      </c>
      <c r="T15" s="95">
        <f>$C$6</f>
        <v>18</v>
      </c>
      <c r="U15" s="95">
        <f>S15*T15/100</f>
        <v>0</v>
      </c>
      <c r="V15" s="95">
        <f>S15-U15</f>
        <v>0</v>
      </c>
      <c r="W15" s="95">
        <f>Q15-K15</f>
        <v>40.000000000079979</v>
      </c>
      <c r="X15" s="95">
        <f>H15+W15</f>
        <v>40.000000000079979</v>
      </c>
      <c r="Y15" s="95">
        <f>V15</f>
        <v>0</v>
      </c>
      <c r="Z15" s="95">
        <f>X15+U15</f>
        <v>40.000000000079979</v>
      </c>
      <c r="AA15" s="95">
        <f>IF($D15&lt;&gt;"Перехід",R15,0)</f>
        <v>0</v>
      </c>
      <c r="AB15" s="95" t="str">
        <f>IF(AA15=0,"",(AA13+AA14+AA15)/$I$7*100-100)</f>
        <v/>
      </c>
      <c r="AC15" s="95">
        <f t="shared" si="0"/>
        <v>1200.0000000023999</v>
      </c>
      <c r="AD15" s="95">
        <f t="shared" si="0"/>
        <v>240.00000000047999</v>
      </c>
      <c r="AE15" s="94" t="str">
        <f>""</f>
        <v/>
      </c>
      <c r="AF15" s="87"/>
      <c r="AG15" s="87"/>
      <c r="AH15" s="87"/>
    </row>
    <row r="16" spans="1:34" ht="24" customHeight="1" x14ac:dyDescent="0.2">
      <c r="A16" s="96">
        <v>1</v>
      </c>
      <c r="B16" s="97" t="s">
        <v>304</v>
      </c>
      <c r="C16" s="97" t="s">
        <v>85</v>
      </c>
      <c r="D16" s="97" t="s">
        <v>85</v>
      </c>
      <c r="E16" s="98">
        <f>SUM(E13:E15)</f>
        <v>100</v>
      </c>
      <c r="F16" s="98">
        <f>SUM(F13:F15)</f>
        <v>3000</v>
      </c>
      <c r="G16" s="98"/>
      <c r="H16" s="98">
        <f>SUM(H13:H15)</f>
        <v>399.99999999959999</v>
      </c>
      <c r="I16" s="98">
        <f>SUM(I13:I15)</f>
        <v>200.00000000040001</v>
      </c>
      <c r="J16" s="98">
        <f>SUM(J13:J15)</f>
        <v>0</v>
      </c>
      <c r="K16" s="98">
        <f>SUM(K13:K15)</f>
        <v>600</v>
      </c>
      <c r="L16" s="98"/>
      <c r="M16" s="98">
        <f>SUM(M13:M15)</f>
        <v>600</v>
      </c>
      <c r="N16" s="98"/>
      <c r="O16" s="98">
        <f>SUM(O13:O15)</f>
        <v>0</v>
      </c>
      <c r="P16" s="98">
        <f>SUM(P13:P15)</f>
        <v>3600</v>
      </c>
      <c r="Q16" s="98">
        <f>SUM(Q13:Q15)</f>
        <v>720</v>
      </c>
      <c r="R16" s="98">
        <f>SUM(R13:R15)</f>
        <v>4320</v>
      </c>
      <c r="S16" s="98">
        <f>SUM(S13:S15)</f>
        <v>0</v>
      </c>
      <c r="T16" s="98"/>
      <c r="U16" s="98">
        <f t="shared" ref="U16:AA16" si="1">SUM(U13:U15)</f>
        <v>0</v>
      </c>
      <c r="V16" s="98">
        <f t="shared" si="1"/>
        <v>0</v>
      </c>
      <c r="W16" s="98">
        <f t="shared" si="1"/>
        <v>119.99999999999994</v>
      </c>
      <c r="X16" s="98">
        <f t="shared" si="1"/>
        <v>519.99999999959994</v>
      </c>
      <c r="Y16" s="98">
        <f t="shared" si="1"/>
        <v>0</v>
      </c>
      <c r="Z16" s="98">
        <f t="shared" si="1"/>
        <v>519.99999999959994</v>
      </c>
      <c r="AA16" s="98">
        <f t="shared" si="1"/>
        <v>0</v>
      </c>
      <c r="AB16" s="98" t="str">
        <f>IF((AA13+AA14+AA15)=0,"",(AA13+AA14+AA15)/$I$7*100-100)</f>
        <v/>
      </c>
      <c r="AC16" s="98">
        <f>SUM(AC13:AC15)</f>
        <v>3600</v>
      </c>
      <c r="AD16" s="98">
        <f>SUM(AD13:AD15)</f>
        <v>720</v>
      </c>
      <c r="AE16" s="96" t="str">
        <f>IF(ABS(SUM(E13:E15)-100)&lt;0.0001,"ОК","ПОМИЛКА: сума часток = "&amp;ROUND(SUM(E13:E15),2)&amp;"%")</f>
        <v>ОК</v>
      </c>
      <c r="AF16" s="87"/>
      <c r="AG16" s="87"/>
      <c r="AH16" s="87"/>
    </row>
    <row r="17" spans="1:34" ht="27.95" customHeight="1" x14ac:dyDescent="0.2">
      <c r="A17" s="94">
        <v>2</v>
      </c>
      <c r="B17" s="93" t="s">
        <v>163</v>
      </c>
      <c r="C17" s="93" t="s">
        <v>305</v>
      </c>
      <c r="D17" s="93" t="s">
        <v>90</v>
      </c>
      <c r="E17" s="95">
        <f>'Модель 0-0'!E17</f>
        <v>25</v>
      </c>
      <c r="F17" s="95">
        <f>AC16*E17/100</f>
        <v>900</v>
      </c>
      <c r="G17" s="95">
        <f>IF($D17="Експорт",$C$8,$C$5)</f>
        <v>20</v>
      </c>
      <c r="H17" s="95">
        <f>IF($C17="Імпорт",$F17*$I$4/100,0)</f>
        <v>0</v>
      </c>
      <c r="I17" s="95">
        <f>IF($C17="Зовнішній ПДВ",$F17*$I$5/100,0)</f>
        <v>0</v>
      </c>
      <c r="J17" s="95">
        <f>AD16*E17/100</f>
        <v>180</v>
      </c>
      <c r="K17" s="95">
        <f>H17+I17+J17</f>
        <v>180</v>
      </c>
      <c r="L17" s="95">
        <f>M17/F17*100</f>
        <v>21.999999999999996</v>
      </c>
      <c r="M17" s="95">
        <f>'Модель 0-0'!M17</f>
        <v>197.99999999999997</v>
      </c>
      <c r="N17" s="95">
        <f>O17/(F17+M17)*100</f>
        <v>0</v>
      </c>
      <c r="O17" s="95">
        <f>0</f>
        <v>0</v>
      </c>
      <c r="P17" s="95">
        <f>F17+M17+O17</f>
        <v>1098</v>
      </c>
      <c r="Q17" s="95">
        <f>P17*G17/100</f>
        <v>219.6</v>
      </c>
      <c r="R17" s="95">
        <f>P17+Q17</f>
        <v>1317.6</v>
      </c>
      <c r="S17" s="95">
        <f>O17</f>
        <v>0</v>
      </c>
      <c r="T17" s="95">
        <f>$C$6</f>
        <v>18</v>
      </c>
      <c r="U17" s="95">
        <f>S17*T17/100</f>
        <v>0</v>
      </c>
      <c r="V17" s="95">
        <f>S17-U17</f>
        <v>0</v>
      </c>
      <c r="W17" s="95">
        <f>Q17-K17</f>
        <v>39.599999999999994</v>
      </c>
      <c r="X17" s="95">
        <f>H17+W17</f>
        <v>39.599999999999994</v>
      </c>
      <c r="Y17" s="95">
        <f>V17</f>
        <v>0</v>
      </c>
      <c r="Z17" s="95">
        <f>X17+U17</f>
        <v>39.599999999999994</v>
      </c>
      <c r="AA17" s="95">
        <f>IF($D17&lt;&gt;"Перехід",R17,0)</f>
        <v>1317.6</v>
      </c>
      <c r="AB17" s="95">
        <f>IF(AA17=0,"",(AA13+AA14+AA15+AA17)/$I$7*100-100)</f>
        <v>-56.080000000000005</v>
      </c>
      <c r="AC17" s="95">
        <f t="shared" ref="AC17:AD20" si="2">IF($D17="Перехід",P17,0)</f>
        <v>0</v>
      </c>
      <c r="AD17" s="95">
        <f t="shared" si="2"/>
        <v>0</v>
      </c>
      <c r="AE17" s="94" t="str">
        <f>""</f>
        <v/>
      </c>
      <c r="AF17" s="87"/>
      <c r="AG17" s="87"/>
      <c r="AH17" s="87"/>
    </row>
    <row r="18" spans="1:34" ht="27.95" customHeight="1" x14ac:dyDescent="0.2">
      <c r="A18" s="94">
        <v>2</v>
      </c>
      <c r="B18" s="93" t="s">
        <v>81</v>
      </c>
      <c r="C18" s="93" t="s">
        <v>305</v>
      </c>
      <c r="D18" s="93" t="s">
        <v>75</v>
      </c>
      <c r="E18" s="95">
        <f>'Модель 0-0'!E18</f>
        <v>25</v>
      </c>
      <c r="F18" s="95">
        <f>AC16*E18/100</f>
        <v>900</v>
      </c>
      <c r="G18" s="95">
        <f>IF($D18="Експорт",$C$8,$C$5)</f>
        <v>20</v>
      </c>
      <c r="H18" s="95">
        <f>IF($C18="Імпорт",$F18*$I$4/100,0)</f>
        <v>0</v>
      </c>
      <c r="I18" s="95">
        <f>IF($C18="Зовнішній ПДВ",$F18*$I$5/100,0)</f>
        <v>0</v>
      </c>
      <c r="J18" s="95">
        <f>AD16*E18/100</f>
        <v>180</v>
      </c>
      <c r="K18" s="95">
        <f>H18+I18+J18</f>
        <v>180</v>
      </c>
      <c r="L18" s="95">
        <f>M18/F18*100</f>
        <v>21.999999999999996</v>
      </c>
      <c r="M18" s="95">
        <f>'Модель 0-0'!M18</f>
        <v>197.99999999999997</v>
      </c>
      <c r="N18" s="95">
        <f>O18/(F18+M18)*100</f>
        <v>0</v>
      </c>
      <c r="O18" s="95">
        <f>0</f>
        <v>0</v>
      </c>
      <c r="P18" s="95">
        <f>F18+M18+O18</f>
        <v>1098</v>
      </c>
      <c r="Q18" s="95">
        <f>P18*G18/100</f>
        <v>219.6</v>
      </c>
      <c r="R18" s="95">
        <f>P18+Q18</f>
        <v>1317.6</v>
      </c>
      <c r="S18" s="95">
        <f>O18</f>
        <v>0</v>
      </c>
      <c r="T18" s="95">
        <f>$C$6</f>
        <v>18</v>
      </c>
      <c r="U18" s="95">
        <f>S18*T18/100</f>
        <v>0</v>
      </c>
      <c r="V18" s="95">
        <f>S18-U18</f>
        <v>0</v>
      </c>
      <c r="W18" s="95">
        <f>Q18-K18</f>
        <v>39.599999999999994</v>
      </c>
      <c r="X18" s="95">
        <f>H18+W18</f>
        <v>39.599999999999994</v>
      </c>
      <c r="Y18" s="95">
        <f>V18</f>
        <v>0</v>
      </c>
      <c r="Z18" s="95">
        <f>X18+U18</f>
        <v>39.599999999999994</v>
      </c>
      <c r="AA18" s="95">
        <f>IF($D18&lt;&gt;"Перехід",R18,0)</f>
        <v>0</v>
      </c>
      <c r="AB18" s="95" t="str">
        <f>IF(AA18=0,"",(AA13+AA14+AA15+AA17+AA18)/$I$7*100-100)</f>
        <v/>
      </c>
      <c r="AC18" s="95">
        <f t="shared" si="2"/>
        <v>1098</v>
      </c>
      <c r="AD18" s="95">
        <f t="shared" si="2"/>
        <v>219.6</v>
      </c>
      <c r="AE18" s="94" t="str">
        <f>""</f>
        <v/>
      </c>
      <c r="AF18" s="87"/>
      <c r="AG18" s="87"/>
      <c r="AH18" s="87"/>
    </row>
    <row r="19" spans="1:34" ht="27.95" customHeight="1" x14ac:dyDescent="0.2">
      <c r="A19" s="94">
        <v>2</v>
      </c>
      <c r="B19" s="93" t="s">
        <v>160</v>
      </c>
      <c r="C19" s="93" t="s">
        <v>305</v>
      </c>
      <c r="D19" s="93" t="s">
        <v>75</v>
      </c>
      <c r="E19" s="95">
        <f>'Модель 0-0'!E19</f>
        <v>25</v>
      </c>
      <c r="F19" s="95">
        <f>AC16*E19/100</f>
        <v>900</v>
      </c>
      <c r="G19" s="95">
        <f>IF($D19="Експорт",$C$8,$C$5)</f>
        <v>20</v>
      </c>
      <c r="H19" s="95">
        <f>IF($C19="Імпорт",$F19*$I$4/100,0)</f>
        <v>0</v>
      </c>
      <c r="I19" s="95">
        <f>IF($C19="Зовнішній ПДВ",$F19*$I$5/100,0)</f>
        <v>0</v>
      </c>
      <c r="J19" s="95">
        <f>AD16*E19/100</f>
        <v>180</v>
      </c>
      <c r="K19" s="95">
        <f>H19+I19+J19</f>
        <v>180</v>
      </c>
      <c r="L19" s="95">
        <f>M19/F19*100</f>
        <v>21.999999999999996</v>
      </c>
      <c r="M19" s="95">
        <f>'Модель 0-0'!M19</f>
        <v>197.99999999999997</v>
      </c>
      <c r="N19" s="95">
        <f>O19/(F19+M19)*100</f>
        <v>0</v>
      </c>
      <c r="O19" s="95">
        <f>0</f>
        <v>0</v>
      </c>
      <c r="P19" s="95">
        <f>F19+M19+O19</f>
        <v>1098</v>
      </c>
      <c r="Q19" s="95">
        <f>P19*G19/100</f>
        <v>219.6</v>
      </c>
      <c r="R19" s="95">
        <f>P19+Q19</f>
        <v>1317.6</v>
      </c>
      <c r="S19" s="95">
        <f>O19</f>
        <v>0</v>
      </c>
      <c r="T19" s="95">
        <f>$C$6</f>
        <v>18</v>
      </c>
      <c r="U19" s="95">
        <f>S19*T19/100</f>
        <v>0</v>
      </c>
      <c r="V19" s="95">
        <f>S19-U19</f>
        <v>0</v>
      </c>
      <c r="W19" s="95">
        <f>Q19-K19</f>
        <v>39.599999999999994</v>
      </c>
      <c r="X19" s="95">
        <f>H19+W19</f>
        <v>39.599999999999994</v>
      </c>
      <c r="Y19" s="95">
        <f>V19</f>
        <v>0</v>
      </c>
      <c r="Z19" s="95">
        <f>X19+U19</f>
        <v>39.599999999999994</v>
      </c>
      <c r="AA19" s="95">
        <f>IF($D19&lt;&gt;"Перехід",R19,0)</f>
        <v>0</v>
      </c>
      <c r="AB19" s="95" t="str">
        <f>IF(AA19=0,"",(AA13+AA14+AA15+AA17+AA18+AA19)/$I$7*100-100)</f>
        <v/>
      </c>
      <c r="AC19" s="95">
        <f t="shared" si="2"/>
        <v>1098</v>
      </c>
      <c r="AD19" s="95">
        <f t="shared" si="2"/>
        <v>219.6</v>
      </c>
      <c r="AE19" s="94" t="str">
        <f>""</f>
        <v/>
      </c>
      <c r="AF19" s="87"/>
      <c r="AG19" s="87"/>
      <c r="AH19" s="87"/>
    </row>
    <row r="20" spans="1:34" ht="27.95" customHeight="1" x14ac:dyDescent="0.2">
      <c r="A20" s="94">
        <v>2</v>
      </c>
      <c r="B20" s="93" t="s">
        <v>306</v>
      </c>
      <c r="C20" s="93" t="s">
        <v>305</v>
      </c>
      <c r="D20" s="93" t="s">
        <v>87</v>
      </c>
      <c r="E20" s="95">
        <f>'Модель 0-0'!E20</f>
        <v>25</v>
      </c>
      <c r="F20" s="95">
        <f>AC16*E20/100</f>
        <v>900</v>
      </c>
      <c r="G20" s="95">
        <f>IF($D20="Експорт",$C$8,$C$5)</f>
        <v>0</v>
      </c>
      <c r="H20" s="95">
        <f>IF($C20="Імпорт",$F20*$I$4/100,0)</f>
        <v>0</v>
      </c>
      <c r="I20" s="95">
        <f>IF($C20="Зовнішній ПДВ",$F20*$I$5/100,0)</f>
        <v>0</v>
      </c>
      <c r="J20" s="95">
        <f>AD16*E20/100</f>
        <v>180</v>
      </c>
      <c r="K20" s="95">
        <f>H20+I20+J20</f>
        <v>180</v>
      </c>
      <c r="L20" s="95">
        <f>M20/F20*100</f>
        <v>21.999999999999996</v>
      </c>
      <c r="M20" s="95">
        <f>'Модель 0-0'!M20</f>
        <v>197.99999999999997</v>
      </c>
      <c r="N20" s="95">
        <f>O20/(F20+M20)*100</f>
        <v>0</v>
      </c>
      <c r="O20" s="95">
        <f>0</f>
        <v>0</v>
      </c>
      <c r="P20" s="95">
        <f>F20+M20+O20</f>
        <v>1098</v>
      </c>
      <c r="Q20" s="95">
        <f>P20*G20/100</f>
        <v>0</v>
      </c>
      <c r="R20" s="95">
        <f>P20+Q20</f>
        <v>1098</v>
      </c>
      <c r="S20" s="95">
        <f>O20</f>
        <v>0</v>
      </c>
      <c r="T20" s="95">
        <f>$C$6</f>
        <v>18</v>
      </c>
      <c r="U20" s="95">
        <f>S20*T20/100</f>
        <v>0</v>
      </c>
      <c r="V20" s="95">
        <f>S20-U20</f>
        <v>0</v>
      </c>
      <c r="W20" s="95">
        <f>Q20-K20</f>
        <v>-180</v>
      </c>
      <c r="X20" s="95">
        <f>H20+W20</f>
        <v>-180</v>
      </c>
      <c r="Y20" s="95">
        <f>V20</f>
        <v>0</v>
      </c>
      <c r="Z20" s="95">
        <f>X20+U20</f>
        <v>-180</v>
      </c>
      <c r="AA20" s="95">
        <f>IF($D20&lt;&gt;"Перехід",R20,0)</f>
        <v>1098</v>
      </c>
      <c r="AB20" s="95">
        <f>IF(AA20=0,"",(AA13+AA14+AA15+AA17+AA18+AA19+AA20)/$I$7*100-100)</f>
        <v>-19.480000000000004</v>
      </c>
      <c r="AC20" s="95">
        <f t="shared" si="2"/>
        <v>0</v>
      </c>
      <c r="AD20" s="95">
        <f t="shared" si="2"/>
        <v>0</v>
      </c>
      <c r="AE20" s="94" t="str">
        <f>""</f>
        <v/>
      </c>
      <c r="AF20" s="87"/>
      <c r="AG20" s="87"/>
      <c r="AH20" s="87"/>
    </row>
    <row r="21" spans="1:34" ht="24" customHeight="1" x14ac:dyDescent="0.2">
      <c r="A21" s="96">
        <v>2</v>
      </c>
      <c r="B21" s="97" t="s">
        <v>307</v>
      </c>
      <c r="C21" s="97" t="s">
        <v>85</v>
      </c>
      <c r="D21" s="97" t="s">
        <v>85</v>
      </c>
      <c r="E21" s="98">
        <f>SUM(E17:E20)</f>
        <v>100</v>
      </c>
      <c r="F21" s="98">
        <f>SUM(F17:F20)</f>
        <v>3600</v>
      </c>
      <c r="G21" s="98"/>
      <c r="H21" s="98">
        <f>SUM(H17:H20)</f>
        <v>0</v>
      </c>
      <c r="I21" s="98">
        <f>SUM(I17:I20)</f>
        <v>0</v>
      </c>
      <c r="J21" s="98">
        <f>SUM(J17:J20)</f>
        <v>720</v>
      </c>
      <c r="K21" s="98">
        <f>SUM(K17:K20)</f>
        <v>720</v>
      </c>
      <c r="L21" s="98"/>
      <c r="M21" s="98">
        <f>SUM(M17:M20)</f>
        <v>791.99999999999989</v>
      </c>
      <c r="N21" s="98"/>
      <c r="O21" s="98">
        <f>SUM(O17:O20)</f>
        <v>0</v>
      </c>
      <c r="P21" s="98">
        <f>SUM(P17:P20)</f>
        <v>4392</v>
      </c>
      <c r="Q21" s="98">
        <f>SUM(Q17:Q20)</f>
        <v>658.8</v>
      </c>
      <c r="R21" s="98">
        <f>SUM(R17:R20)</f>
        <v>5050.7999999999993</v>
      </c>
      <c r="S21" s="98">
        <f>SUM(S17:S20)</f>
        <v>0</v>
      </c>
      <c r="T21" s="98"/>
      <c r="U21" s="98">
        <f t="shared" ref="U21:AA21" si="3">SUM(U17:U20)</f>
        <v>0</v>
      </c>
      <c r="V21" s="98">
        <f t="shared" si="3"/>
        <v>0</v>
      </c>
      <c r="W21" s="98">
        <f t="shared" si="3"/>
        <v>-61.200000000000017</v>
      </c>
      <c r="X21" s="98">
        <f t="shared" si="3"/>
        <v>-61.200000000000017</v>
      </c>
      <c r="Y21" s="98">
        <f t="shared" si="3"/>
        <v>0</v>
      </c>
      <c r="Z21" s="98">
        <f t="shared" si="3"/>
        <v>-61.200000000000017</v>
      </c>
      <c r="AA21" s="98">
        <f t="shared" si="3"/>
        <v>2415.6</v>
      </c>
      <c r="AB21" s="98">
        <f>IF((AA13+AA14+AA15+AA17+AA18+AA19+AA20)=0,"",(AA13+AA14+AA15+AA17+AA18+AA19+AA20)/$I$7*100-100)</f>
        <v>-19.480000000000004</v>
      </c>
      <c r="AC21" s="98">
        <f>SUM(AC17:AC20)</f>
        <v>2196</v>
      </c>
      <c r="AD21" s="98">
        <f>SUM(AD17:AD20)</f>
        <v>439.2</v>
      </c>
      <c r="AE21" s="96" t="str">
        <f>IF(ABS(SUM(E17:E20)-100)&lt;0.0001,"ОК","ПОМИЛКА: сума часток = "&amp;ROUND(SUM(E17:E20),2)&amp;"%")</f>
        <v>ОК</v>
      </c>
      <c r="AF21" s="87"/>
      <c r="AG21" s="87"/>
      <c r="AH21" s="87"/>
    </row>
    <row r="22" spans="1:34" ht="27.95" customHeight="1" x14ac:dyDescent="0.2">
      <c r="A22" s="94">
        <v>3</v>
      </c>
      <c r="B22" s="93" t="s">
        <v>163</v>
      </c>
      <c r="C22" s="93" t="s">
        <v>305</v>
      </c>
      <c r="D22" s="93" t="s">
        <v>90</v>
      </c>
      <c r="E22" s="95">
        <f>'Модель 0-0'!E22</f>
        <v>33.333333333299997</v>
      </c>
      <c r="F22" s="95">
        <f>AC21*E22/100</f>
        <v>731.99999999926786</v>
      </c>
      <c r="G22" s="95">
        <f>IF($D22="Експорт",$C$8,$C$5)</f>
        <v>20</v>
      </c>
      <c r="H22" s="95">
        <f>IF($C22="Імпорт",$F22*$I$4/100,0)</f>
        <v>0</v>
      </c>
      <c r="I22" s="95">
        <f>IF($C22="Зовнішній ПДВ",$F22*$I$5/100,0)</f>
        <v>0</v>
      </c>
      <c r="J22" s="95">
        <f>AD21*E22/100</f>
        <v>146.39999999985358</v>
      </c>
      <c r="K22" s="95">
        <f>H22+I22+J22</f>
        <v>146.39999999985358</v>
      </c>
      <c r="L22" s="95">
        <f>M22/F22*100</f>
        <v>23.803278688524586</v>
      </c>
      <c r="M22" s="95">
        <f>'Модель 0-0'!M22</f>
        <v>174.2399999998257</v>
      </c>
      <c r="N22" s="95">
        <f>O22/(F22+M22)*100</f>
        <v>0</v>
      </c>
      <c r="O22" s="95">
        <f>0</f>
        <v>0</v>
      </c>
      <c r="P22" s="95">
        <f>F22+M22+O22</f>
        <v>906.23999999909358</v>
      </c>
      <c r="Q22" s="95">
        <f>P22*G22/100</f>
        <v>181.24799999981872</v>
      </c>
      <c r="R22" s="95">
        <f>P22+Q22</f>
        <v>1087.4879999989123</v>
      </c>
      <c r="S22" s="95">
        <f>O22</f>
        <v>0</v>
      </c>
      <c r="T22" s="95">
        <f>$C$6</f>
        <v>18</v>
      </c>
      <c r="U22" s="95">
        <f>S22*T22/100</f>
        <v>0</v>
      </c>
      <c r="V22" s="95">
        <f>S22-U22</f>
        <v>0</v>
      </c>
      <c r="W22" s="95">
        <f>Q22-K22</f>
        <v>34.84799999996514</v>
      </c>
      <c r="X22" s="95">
        <f>H22+W22</f>
        <v>34.84799999996514</v>
      </c>
      <c r="Y22" s="95">
        <f>V22</f>
        <v>0</v>
      </c>
      <c r="Z22" s="95">
        <f>X22+U22</f>
        <v>34.84799999996514</v>
      </c>
      <c r="AA22" s="95">
        <f>IF($D22&lt;&gt;"Перехід",R22,0)</f>
        <v>1087.4879999989123</v>
      </c>
      <c r="AB22" s="95">
        <f>IF(AA22=0,"",(AA13+AA14+AA15+AA17+AA18+AA19+AA20+AA22)/$I$7*100-100)</f>
        <v>16.769599999963731</v>
      </c>
      <c r="AC22" s="95">
        <f t="shared" ref="AC22:AD24" si="4">IF($D22="Перехід",P22,0)</f>
        <v>0</v>
      </c>
      <c r="AD22" s="95">
        <f t="shared" si="4"/>
        <v>0</v>
      </c>
      <c r="AE22" s="94" t="str">
        <f>""</f>
        <v/>
      </c>
      <c r="AF22" s="87"/>
      <c r="AG22" s="87"/>
      <c r="AH22" s="87"/>
    </row>
    <row r="23" spans="1:34" ht="27.95" customHeight="1" x14ac:dyDescent="0.2">
      <c r="A23" s="94">
        <v>3</v>
      </c>
      <c r="B23" s="93" t="s">
        <v>81</v>
      </c>
      <c r="C23" s="93" t="s">
        <v>305</v>
      </c>
      <c r="D23" s="93" t="s">
        <v>75</v>
      </c>
      <c r="E23" s="95">
        <f>'Модель 0-0'!E23</f>
        <v>33.333333333299997</v>
      </c>
      <c r="F23" s="95">
        <f>AC21*E23/100</f>
        <v>731.99999999926786</v>
      </c>
      <c r="G23" s="95">
        <f>IF($D23="Експорт",$C$8,$C$5)</f>
        <v>20</v>
      </c>
      <c r="H23" s="95">
        <f>IF($C23="Імпорт",$F23*$I$4/100,0)</f>
        <v>0</v>
      </c>
      <c r="I23" s="95">
        <f>IF($C23="Зовнішній ПДВ",$F23*$I$5/100,0)</f>
        <v>0</v>
      </c>
      <c r="J23" s="95">
        <f>AD21*E23/100</f>
        <v>146.39999999985358</v>
      </c>
      <c r="K23" s="95">
        <f>H23+I23+J23</f>
        <v>146.39999999985358</v>
      </c>
      <c r="L23" s="95">
        <f>M23/F23*100</f>
        <v>23.803278688524586</v>
      </c>
      <c r="M23" s="95">
        <f>'Модель 0-0'!M23</f>
        <v>174.2399999998257</v>
      </c>
      <c r="N23" s="95">
        <f>O23/(F23+M23)*100</f>
        <v>0</v>
      </c>
      <c r="O23" s="95">
        <f>0</f>
        <v>0</v>
      </c>
      <c r="P23" s="95">
        <f>F23+M23+O23</f>
        <v>906.23999999909358</v>
      </c>
      <c r="Q23" s="95">
        <f>P23*G23/100</f>
        <v>181.24799999981872</v>
      </c>
      <c r="R23" s="95">
        <f>P23+Q23</f>
        <v>1087.4879999989123</v>
      </c>
      <c r="S23" s="95">
        <f>O23</f>
        <v>0</v>
      </c>
      <c r="T23" s="95">
        <f>$C$6</f>
        <v>18</v>
      </c>
      <c r="U23" s="95">
        <f>S23*T23/100</f>
        <v>0</v>
      </c>
      <c r="V23" s="95">
        <f>S23-U23</f>
        <v>0</v>
      </c>
      <c r="W23" s="95">
        <f>Q23-K23</f>
        <v>34.84799999996514</v>
      </c>
      <c r="X23" s="95">
        <f>H23+W23</f>
        <v>34.84799999996514</v>
      </c>
      <c r="Y23" s="95">
        <f>V23</f>
        <v>0</v>
      </c>
      <c r="Z23" s="95">
        <f>X23+U23</f>
        <v>34.84799999996514</v>
      </c>
      <c r="AA23" s="95">
        <f>IF($D23&lt;&gt;"Перехід",R23,0)</f>
        <v>0</v>
      </c>
      <c r="AB23" s="95" t="str">
        <f>IF(AA23=0,"",(AA13+AA14+AA15+AA17+AA18+AA19+AA20+AA22+AA23)/$I$7*100-100)</f>
        <v/>
      </c>
      <c r="AC23" s="95">
        <f t="shared" si="4"/>
        <v>906.23999999909358</v>
      </c>
      <c r="AD23" s="95">
        <f t="shared" si="4"/>
        <v>181.24799999981872</v>
      </c>
      <c r="AE23" s="94" t="str">
        <f>""</f>
        <v/>
      </c>
      <c r="AF23" s="87"/>
      <c r="AG23" s="87"/>
      <c r="AH23" s="87"/>
    </row>
    <row r="24" spans="1:34" ht="27.95" customHeight="1" x14ac:dyDescent="0.2">
      <c r="A24" s="94">
        <v>3</v>
      </c>
      <c r="B24" s="93" t="s">
        <v>160</v>
      </c>
      <c r="C24" s="93" t="s">
        <v>305</v>
      </c>
      <c r="D24" s="93" t="s">
        <v>75</v>
      </c>
      <c r="E24" s="95">
        <f>'Модель 0-0'!E24</f>
        <v>33.333333333399999</v>
      </c>
      <c r="F24" s="95">
        <f>AC21*E24/100</f>
        <v>732.00000000146395</v>
      </c>
      <c r="G24" s="95">
        <f>IF($D24="Експорт",$C$8,$C$5)</f>
        <v>20</v>
      </c>
      <c r="H24" s="95">
        <f>IF($C24="Імпорт",$F24*$I$4/100,0)</f>
        <v>0</v>
      </c>
      <c r="I24" s="95">
        <f>IF($C24="Зовнішній ПДВ",$F24*$I$5/100,0)</f>
        <v>0</v>
      </c>
      <c r="J24" s="95">
        <f>AD21*E24/100</f>
        <v>146.40000000029278</v>
      </c>
      <c r="K24" s="95">
        <f>H24+I24+J24</f>
        <v>146.40000000029278</v>
      </c>
      <c r="L24" s="95">
        <f>M24/F24*100</f>
        <v>23.803278688524589</v>
      </c>
      <c r="M24" s="95">
        <f>'Модель 0-0'!M24</f>
        <v>174.24000000034846</v>
      </c>
      <c r="N24" s="95">
        <f>O24/(F24+M24)*100</f>
        <v>0</v>
      </c>
      <c r="O24" s="95">
        <f>0</f>
        <v>0</v>
      </c>
      <c r="P24" s="95">
        <f>F24+M24+O24</f>
        <v>906.2400000018124</v>
      </c>
      <c r="Q24" s="95">
        <f>P24*G24/100</f>
        <v>181.24800000036248</v>
      </c>
      <c r="R24" s="95">
        <f>P24+Q24</f>
        <v>1087.4880000021749</v>
      </c>
      <c r="S24" s="95">
        <f>O24</f>
        <v>0</v>
      </c>
      <c r="T24" s="95">
        <f>$C$6</f>
        <v>18</v>
      </c>
      <c r="U24" s="95">
        <f>S24*T24/100</f>
        <v>0</v>
      </c>
      <c r="V24" s="95">
        <f>S24-U24</f>
        <v>0</v>
      </c>
      <c r="W24" s="95">
        <f>Q24-K24</f>
        <v>34.848000000069703</v>
      </c>
      <c r="X24" s="95">
        <f>H24+W24</f>
        <v>34.848000000069703</v>
      </c>
      <c r="Y24" s="95">
        <f>V24</f>
        <v>0</v>
      </c>
      <c r="Z24" s="95">
        <f>X24+U24</f>
        <v>34.848000000069703</v>
      </c>
      <c r="AA24" s="95">
        <f>IF($D24&lt;&gt;"Перехід",R24,0)</f>
        <v>0</v>
      </c>
      <c r="AB24" s="95" t="str">
        <f>IF(AA24=0,"",(AA13+AA14+AA15+AA17+AA18+AA19+AA20+AA22+AA23+AA24)/$I$7*100-100)</f>
        <v/>
      </c>
      <c r="AC24" s="95">
        <f t="shared" si="4"/>
        <v>906.2400000018124</v>
      </c>
      <c r="AD24" s="95">
        <f t="shared" si="4"/>
        <v>181.24800000036248</v>
      </c>
      <c r="AE24" s="94" t="str">
        <f>""</f>
        <v/>
      </c>
      <c r="AF24" s="87"/>
      <c r="AG24" s="87"/>
      <c r="AH24" s="87"/>
    </row>
    <row r="25" spans="1:34" ht="24" customHeight="1" x14ac:dyDescent="0.2">
      <c r="A25" s="96">
        <v>3</v>
      </c>
      <c r="B25" s="97" t="s">
        <v>308</v>
      </c>
      <c r="C25" s="97" t="s">
        <v>85</v>
      </c>
      <c r="D25" s="97" t="s">
        <v>85</v>
      </c>
      <c r="E25" s="98">
        <f>SUM(E22:E24)</f>
        <v>100</v>
      </c>
      <c r="F25" s="98">
        <f>SUM(F22:F24)</f>
        <v>2195.9999999999995</v>
      </c>
      <c r="G25" s="98"/>
      <c r="H25" s="98">
        <f>SUM(H22:H24)</f>
        <v>0</v>
      </c>
      <c r="I25" s="98">
        <f>SUM(I22:I24)</f>
        <v>0</v>
      </c>
      <c r="J25" s="98">
        <f>SUM(J22:J24)</f>
        <v>439.19999999999993</v>
      </c>
      <c r="K25" s="98">
        <f>SUM(K22:K24)</f>
        <v>439.19999999999993</v>
      </c>
      <c r="L25" s="98"/>
      <c r="M25" s="98">
        <f>SUM(M22:M24)</f>
        <v>522.7199999999998</v>
      </c>
      <c r="N25" s="98"/>
      <c r="O25" s="98">
        <f>SUM(O22:O24)</f>
        <v>0</v>
      </c>
      <c r="P25" s="98">
        <f>SUM(P22:P24)</f>
        <v>2718.7199999999993</v>
      </c>
      <c r="Q25" s="98">
        <f>SUM(Q22:Q24)</f>
        <v>543.74399999999991</v>
      </c>
      <c r="R25" s="98">
        <f>SUM(R22:R24)</f>
        <v>3262.4639999999995</v>
      </c>
      <c r="S25" s="98">
        <f>SUM(S22:S24)</f>
        <v>0</v>
      </c>
      <c r="T25" s="98"/>
      <c r="U25" s="98">
        <f t="shared" ref="U25:AA25" si="5">SUM(U22:U24)</f>
        <v>0</v>
      </c>
      <c r="V25" s="98">
        <f t="shared" si="5"/>
        <v>0</v>
      </c>
      <c r="W25" s="98">
        <f t="shared" si="5"/>
        <v>104.54399999999998</v>
      </c>
      <c r="X25" s="98">
        <f t="shared" si="5"/>
        <v>104.54399999999998</v>
      </c>
      <c r="Y25" s="98">
        <f t="shared" si="5"/>
        <v>0</v>
      </c>
      <c r="Z25" s="98">
        <f t="shared" si="5"/>
        <v>104.54399999999998</v>
      </c>
      <c r="AA25" s="98">
        <f t="shared" si="5"/>
        <v>1087.4879999989123</v>
      </c>
      <c r="AB25" s="98">
        <f>IF((AA13+AA14+AA15+AA17+AA18+AA19+AA20+AA22+AA23+AA24)=0,"",(AA13+AA14+AA15+AA17+AA18+AA19+AA20+AA22+AA23+AA24)/$I$7*100-100)</f>
        <v>16.769599999963731</v>
      </c>
      <c r="AC25" s="98">
        <f>SUM(AC22:AC24)</f>
        <v>1812.4800000009059</v>
      </c>
      <c r="AD25" s="98">
        <f>SUM(AD22:AD24)</f>
        <v>362.4960000001812</v>
      </c>
      <c r="AE25" s="96" t="str">
        <f>IF(ABS(SUM(E22:E24)-100)&lt;0.0001,"ОК","ПОМИЛКА: сума часток = "&amp;ROUND(SUM(E22:E24),2)&amp;"%")</f>
        <v>ОК</v>
      </c>
      <c r="AF25" s="87"/>
      <c r="AG25" s="87"/>
      <c r="AH25" s="87"/>
    </row>
    <row r="26" spans="1:34" ht="27.95" customHeight="1" x14ac:dyDescent="0.2">
      <c r="A26" s="94">
        <v>4</v>
      </c>
      <c r="B26" s="93" t="s">
        <v>163</v>
      </c>
      <c r="C26" s="93" t="s">
        <v>305</v>
      </c>
      <c r="D26" s="93" t="s">
        <v>90</v>
      </c>
      <c r="E26" s="95">
        <f>'Модель 0-0'!E26</f>
        <v>50</v>
      </c>
      <c r="F26" s="95">
        <f>AC25*E26/100</f>
        <v>906.24000000045305</v>
      </c>
      <c r="G26" s="95">
        <f>IF($D26="Експорт",$C$8,$C$5)</f>
        <v>20</v>
      </c>
      <c r="H26" s="95">
        <f>IF($C26="Імпорт",$F26*$I$4/100,0)</f>
        <v>0</v>
      </c>
      <c r="I26" s="95">
        <f>IF($C26="Зовнішній ПДВ",$F26*$I$5/100,0)</f>
        <v>0</v>
      </c>
      <c r="J26" s="95">
        <f>AD25*E26/100</f>
        <v>181.24800000009063</v>
      </c>
      <c r="K26" s="95">
        <f>H26+I26+J26</f>
        <v>181.24800000009063</v>
      </c>
      <c r="L26" s="95">
        <f>M26/F26*100</f>
        <v>25.379237288135592</v>
      </c>
      <c r="M26" s="95">
        <f>'Модель 0-0'!M26</f>
        <v>229.99680000011497</v>
      </c>
      <c r="N26" s="95">
        <f>O26/(F26+M26)*100</f>
        <v>0</v>
      </c>
      <c r="O26" s="95">
        <f>0</f>
        <v>0</v>
      </c>
      <c r="P26" s="95">
        <f>F26+M26+O26</f>
        <v>1136.2368000005681</v>
      </c>
      <c r="Q26" s="95">
        <f>P26*G26/100</f>
        <v>227.24736000011362</v>
      </c>
      <c r="R26" s="95">
        <f>P26+Q26</f>
        <v>1363.4841600006816</v>
      </c>
      <c r="S26" s="95">
        <f>O26</f>
        <v>0</v>
      </c>
      <c r="T26" s="95">
        <f>$C$6</f>
        <v>18</v>
      </c>
      <c r="U26" s="95">
        <f>S26*T26/100</f>
        <v>0</v>
      </c>
      <c r="V26" s="95">
        <f>S26-U26</f>
        <v>0</v>
      </c>
      <c r="W26" s="95">
        <f>Q26-K26</f>
        <v>45.999360000022989</v>
      </c>
      <c r="X26" s="95">
        <f>H26+W26</f>
        <v>45.999360000022989</v>
      </c>
      <c r="Y26" s="95">
        <f>V26</f>
        <v>0</v>
      </c>
      <c r="Z26" s="95">
        <f>X26+U26</f>
        <v>45.999360000022989</v>
      </c>
      <c r="AA26" s="95">
        <f>IF($D26&lt;&gt;"Перехід",R26,0)</f>
        <v>1363.4841600006816</v>
      </c>
      <c r="AB26" s="95">
        <f>IF(AA26=0,"",(AA13+AA14+AA15+AA17+AA18+AA19+AA20+AA22+AA23+AA24+AA26)/$I$7*100-100)</f>
        <v>62.219071999986454</v>
      </c>
      <c r="AC26" s="95">
        <f>IF($D26="Перехід",P26,0)</f>
        <v>0</v>
      </c>
      <c r="AD26" s="95">
        <f>IF($D26="Перехід",Q26,0)</f>
        <v>0</v>
      </c>
      <c r="AE26" s="94" t="str">
        <f>""</f>
        <v/>
      </c>
      <c r="AF26" s="87"/>
      <c r="AG26" s="87"/>
      <c r="AH26" s="87"/>
    </row>
    <row r="27" spans="1:34" ht="27.95" customHeight="1" x14ac:dyDescent="0.2">
      <c r="A27" s="94">
        <v>4</v>
      </c>
      <c r="B27" s="93" t="s">
        <v>160</v>
      </c>
      <c r="C27" s="93" t="s">
        <v>305</v>
      </c>
      <c r="D27" s="93" t="s">
        <v>75</v>
      </c>
      <c r="E27" s="95">
        <f>'Модель 0-0'!E27</f>
        <v>50</v>
      </c>
      <c r="F27" s="95">
        <f>AC25*E27/100</f>
        <v>906.24000000045305</v>
      </c>
      <c r="G27" s="95">
        <f>IF($D27="Експорт",$C$8,$C$5)</f>
        <v>20</v>
      </c>
      <c r="H27" s="95">
        <f>IF($C27="Імпорт",$F27*$I$4/100,0)</f>
        <v>0</v>
      </c>
      <c r="I27" s="95">
        <f>IF($C27="Зовнішній ПДВ",$F27*$I$5/100,0)</f>
        <v>0</v>
      </c>
      <c r="J27" s="95">
        <f>AD25*E27/100</f>
        <v>181.24800000009063</v>
      </c>
      <c r="K27" s="95">
        <f>H27+I27+J27</f>
        <v>181.24800000009063</v>
      </c>
      <c r="L27" s="95">
        <f>M27/F27*100</f>
        <v>25.379237288135592</v>
      </c>
      <c r="M27" s="95">
        <f>'Модель 0-0'!M27</f>
        <v>229.99680000011497</v>
      </c>
      <c r="N27" s="95">
        <f>O27/(F27+M27)*100</f>
        <v>0</v>
      </c>
      <c r="O27" s="95">
        <f>0</f>
        <v>0</v>
      </c>
      <c r="P27" s="95">
        <f>F27+M27+O27</f>
        <v>1136.2368000005681</v>
      </c>
      <c r="Q27" s="95">
        <f>P27*G27/100</f>
        <v>227.24736000011362</v>
      </c>
      <c r="R27" s="95">
        <f>P27+Q27</f>
        <v>1363.4841600006816</v>
      </c>
      <c r="S27" s="95">
        <f>O27</f>
        <v>0</v>
      </c>
      <c r="T27" s="95">
        <f>$C$6</f>
        <v>18</v>
      </c>
      <c r="U27" s="95">
        <f>S27*T27/100</f>
        <v>0</v>
      </c>
      <c r="V27" s="95">
        <f>S27-U27</f>
        <v>0</v>
      </c>
      <c r="W27" s="95">
        <f>Q27-K27</f>
        <v>45.999360000022989</v>
      </c>
      <c r="X27" s="95">
        <f>H27+W27</f>
        <v>45.999360000022989</v>
      </c>
      <c r="Y27" s="95">
        <f>V27</f>
        <v>0</v>
      </c>
      <c r="Z27" s="95">
        <f>X27+U27</f>
        <v>45.999360000022989</v>
      </c>
      <c r="AA27" s="95">
        <f>IF($D27&lt;&gt;"Перехід",R27,0)</f>
        <v>0</v>
      </c>
      <c r="AB27" s="95" t="str">
        <f>IF(AA27=0,"",(AA13+AA14+AA15+AA17+AA18+AA19+AA20+AA22+AA23+AA24+AA26+AA27)/$I$7*100-100)</f>
        <v/>
      </c>
      <c r="AC27" s="95">
        <f>IF($D27="Перехід",P27,0)</f>
        <v>1136.2368000005681</v>
      </c>
      <c r="AD27" s="95">
        <f>IF($D27="Перехід",Q27,0)</f>
        <v>227.24736000011362</v>
      </c>
      <c r="AE27" s="94" t="str">
        <f>""</f>
        <v/>
      </c>
      <c r="AF27" s="87"/>
      <c r="AG27" s="87"/>
      <c r="AH27" s="87"/>
    </row>
    <row r="28" spans="1:34" ht="24" customHeight="1" x14ac:dyDescent="0.2">
      <c r="A28" s="96">
        <v>4</v>
      </c>
      <c r="B28" s="97" t="s">
        <v>309</v>
      </c>
      <c r="C28" s="97" t="s">
        <v>85</v>
      </c>
      <c r="D28" s="97" t="s">
        <v>85</v>
      </c>
      <c r="E28" s="98">
        <f>SUM(E26:E27)</f>
        <v>100</v>
      </c>
      <c r="F28" s="98">
        <f>SUM(F26:F27)</f>
        <v>1812.4800000009061</v>
      </c>
      <c r="G28" s="98"/>
      <c r="H28" s="98">
        <f>SUM(H26:H27)</f>
        <v>0</v>
      </c>
      <c r="I28" s="98">
        <f>SUM(I26:I27)</f>
        <v>0</v>
      </c>
      <c r="J28" s="98">
        <f>SUM(J26:J27)</f>
        <v>362.49600000018125</v>
      </c>
      <c r="K28" s="98">
        <f>SUM(K26:K27)</f>
        <v>362.49600000018125</v>
      </c>
      <c r="L28" s="98"/>
      <c r="M28" s="98">
        <f>SUM(M26:M27)</f>
        <v>459.99360000022995</v>
      </c>
      <c r="N28" s="98"/>
      <c r="O28" s="98">
        <f>SUM(O26:O27)</f>
        <v>0</v>
      </c>
      <c r="P28" s="98">
        <f>SUM(P26:P27)</f>
        <v>2272.4736000011362</v>
      </c>
      <c r="Q28" s="98">
        <f>SUM(Q26:Q27)</f>
        <v>454.49472000022723</v>
      </c>
      <c r="R28" s="98">
        <f>SUM(R26:R27)</f>
        <v>2726.9683200013633</v>
      </c>
      <c r="S28" s="98">
        <f>SUM(S26:S27)</f>
        <v>0</v>
      </c>
      <c r="T28" s="98"/>
      <c r="U28" s="98">
        <f t="shared" ref="U28:AA28" si="6">SUM(U26:U27)</f>
        <v>0</v>
      </c>
      <c r="V28" s="98">
        <f t="shared" si="6"/>
        <v>0</v>
      </c>
      <c r="W28" s="98">
        <f t="shared" si="6"/>
        <v>91.998720000045978</v>
      </c>
      <c r="X28" s="98">
        <f t="shared" si="6"/>
        <v>91.998720000045978</v>
      </c>
      <c r="Y28" s="98">
        <f t="shared" si="6"/>
        <v>0</v>
      </c>
      <c r="Z28" s="98">
        <f t="shared" si="6"/>
        <v>91.998720000045978</v>
      </c>
      <c r="AA28" s="98">
        <f t="shared" si="6"/>
        <v>1363.4841600006816</v>
      </c>
      <c r="AB28" s="98">
        <f>IF((AA13+AA14+AA15+AA17+AA18+AA19+AA20+AA22+AA23+AA24+AA26+AA27)=0,"",(AA13+AA14+AA15+AA17+AA18+AA19+AA20+AA22+AA23+AA24+AA26+AA27)/$I$7*100-100)</f>
        <v>62.219071999986454</v>
      </c>
      <c r="AC28" s="98">
        <f>SUM(AC26:AC27)</f>
        <v>1136.2368000005681</v>
      </c>
      <c r="AD28" s="98">
        <f>SUM(AD26:AD27)</f>
        <v>227.24736000011362</v>
      </c>
      <c r="AE28" s="96" t="str">
        <f>IF(ABS(SUM(E26:E27)-100)&lt;0.0001,"ОК","ПОМИЛКА: сума часток = "&amp;ROUND(SUM(E26:E27),2)&amp;"%")</f>
        <v>ОК</v>
      </c>
      <c r="AF28" s="87"/>
      <c r="AG28" s="87"/>
      <c r="AH28" s="87"/>
    </row>
    <row r="29" spans="1:34" ht="27.95" customHeight="1" x14ac:dyDescent="0.2">
      <c r="A29" s="94">
        <v>5</v>
      </c>
      <c r="B29" s="93" t="s">
        <v>163</v>
      </c>
      <c r="C29" s="93" t="s">
        <v>305</v>
      </c>
      <c r="D29" s="93" t="s">
        <v>90</v>
      </c>
      <c r="E29" s="95">
        <f>'Модель 0-0'!E29</f>
        <v>50</v>
      </c>
      <c r="F29" s="95">
        <f>AC28*E29/100</f>
        <v>568.11840000028405</v>
      </c>
      <c r="G29" s="95">
        <f>IF($D29="Експорт",$C$8,$C$5)</f>
        <v>20</v>
      </c>
      <c r="H29" s="95">
        <f>IF($C29="Імпорт",$F29*$I$4/100,0)</f>
        <v>0</v>
      </c>
      <c r="I29" s="95">
        <f>IF($C29="Зовнішній ПДВ",$F29*$I$5/100,0)</f>
        <v>0</v>
      </c>
      <c r="J29" s="95">
        <f>AD28*E29/100</f>
        <v>113.62368000005681</v>
      </c>
      <c r="K29" s="95">
        <f>H29+I29+J29</f>
        <v>113.62368000005681</v>
      </c>
      <c r="L29" s="95">
        <f>M29/F29*100</f>
        <v>26.719410601733713</v>
      </c>
      <c r="M29" s="95">
        <f>'Модель 0-0'!M29</f>
        <v>151.79788800007583</v>
      </c>
      <c r="N29" s="95">
        <f>O29/(F29+M29)*100</f>
        <v>0</v>
      </c>
      <c r="O29" s="95">
        <f>0</f>
        <v>0</v>
      </c>
      <c r="P29" s="95">
        <f>F29+M29+O29</f>
        <v>719.91628800035983</v>
      </c>
      <c r="Q29" s="95">
        <f>P29*G29/100</f>
        <v>143.98325760007197</v>
      </c>
      <c r="R29" s="95">
        <f>P29+Q29</f>
        <v>863.89954560043179</v>
      </c>
      <c r="S29" s="95">
        <f>O29</f>
        <v>0</v>
      </c>
      <c r="T29" s="95">
        <f>$C$6</f>
        <v>18</v>
      </c>
      <c r="U29" s="95">
        <f>S29*T29/100</f>
        <v>0</v>
      </c>
      <c r="V29" s="95">
        <f>S29-U29</f>
        <v>0</v>
      </c>
      <c r="W29" s="95">
        <f>Q29-K29</f>
        <v>30.359577600015157</v>
      </c>
      <c r="X29" s="95">
        <f>H29+W29</f>
        <v>30.359577600015157</v>
      </c>
      <c r="Y29" s="95">
        <f>V29</f>
        <v>0</v>
      </c>
      <c r="Z29" s="95">
        <f>X29+U29</f>
        <v>30.359577600015157</v>
      </c>
      <c r="AA29" s="95">
        <f>IF($D29&lt;&gt;"Перехід",R29,0)</f>
        <v>863.89954560043179</v>
      </c>
      <c r="AB29" s="95">
        <f>IF(AA29=0,"",(AA13+AA14+AA15+AA17+AA18+AA19+AA20+AA22+AA23+AA24+AA26+AA27+AA29)/$I$7*100-100)</f>
        <v>91.015723520000876</v>
      </c>
      <c r="AC29" s="95">
        <f>IF($D29="Перехід",P29,0)</f>
        <v>0</v>
      </c>
      <c r="AD29" s="95">
        <f>IF($D29="Перехід",Q29,0)</f>
        <v>0</v>
      </c>
      <c r="AE29" s="94" t="str">
        <f>""</f>
        <v/>
      </c>
      <c r="AF29" s="87"/>
      <c r="AG29" s="87"/>
      <c r="AH29" s="87"/>
    </row>
    <row r="30" spans="1:34" ht="27.95" customHeight="1" x14ac:dyDescent="0.2">
      <c r="A30" s="94">
        <v>5</v>
      </c>
      <c r="B30" s="93" t="s">
        <v>160</v>
      </c>
      <c r="C30" s="93" t="s">
        <v>305</v>
      </c>
      <c r="D30" s="93" t="s">
        <v>75</v>
      </c>
      <c r="E30" s="95">
        <f>'Модель 0-0'!E30</f>
        <v>50</v>
      </c>
      <c r="F30" s="95">
        <f>AC28*E30/100</f>
        <v>568.11840000028405</v>
      </c>
      <c r="G30" s="95">
        <f>IF($D30="Експорт",$C$8,$C$5)</f>
        <v>20</v>
      </c>
      <c r="H30" s="95">
        <f>IF($C30="Імпорт",$F30*$I$4/100,0)</f>
        <v>0</v>
      </c>
      <c r="I30" s="95">
        <f>IF($C30="Зовнішній ПДВ",$F30*$I$5/100,0)</f>
        <v>0</v>
      </c>
      <c r="J30" s="95">
        <f>AD28*E30/100</f>
        <v>113.62368000005681</v>
      </c>
      <c r="K30" s="95">
        <f>H30+I30+J30</f>
        <v>113.62368000005681</v>
      </c>
      <c r="L30" s="95">
        <f>M30/F30*100</f>
        <v>26.719410601733713</v>
      </c>
      <c r="M30" s="95">
        <f>'Модель 0-0'!M30</f>
        <v>151.79788800007583</v>
      </c>
      <c r="N30" s="95">
        <f>O30/(F30+M30)*100</f>
        <v>0</v>
      </c>
      <c r="O30" s="95">
        <f>0</f>
        <v>0</v>
      </c>
      <c r="P30" s="95">
        <f>F30+M30+O30</f>
        <v>719.91628800035983</v>
      </c>
      <c r="Q30" s="95">
        <f>P30*G30/100</f>
        <v>143.98325760007197</v>
      </c>
      <c r="R30" s="95">
        <f>P30+Q30</f>
        <v>863.89954560043179</v>
      </c>
      <c r="S30" s="95">
        <f>O30</f>
        <v>0</v>
      </c>
      <c r="T30" s="95">
        <f>$C$6</f>
        <v>18</v>
      </c>
      <c r="U30" s="95">
        <f>S30*T30/100</f>
        <v>0</v>
      </c>
      <c r="V30" s="95">
        <f>S30-U30</f>
        <v>0</v>
      </c>
      <c r="W30" s="95">
        <f>Q30-K30</f>
        <v>30.359577600015157</v>
      </c>
      <c r="X30" s="95">
        <f>H30+W30</f>
        <v>30.359577600015157</v>
      </c>
      <c r="Y30" s="95">
        <f>V30</f>
        <v>0</v>
      </c>
      <c r="Z30" s="95">
        <f>X30+U30</f>
        <v>30.359577600015157</v>
      </c>
      <c r="AA30" s="95">
        <f>IF($D30&lt;&gt;"Перехід",R30,0)</f>
        <v>0</v>
      </c>
      <c r="AB30" s="95" t="str">
        <f>IF(AA30=0,"",(AA13+AA14+AA15+AA17+AA18+AA19+AA20+AA22+AA23+AA24+AA26+AA27+AA29+AA30)/$I$7*100-100)</f>
        <v/>
      </c>
      <c r="AC30" s="95">
        <f>IF($D30="Перехід",P30,0)</f>
        <v>719.91628800035983</v>
      </c>
      <c r="AD30" s="95">
        <f>IF($D30="Перехід",Q30,0)</f>
        <v>143.98325760007197</v>
      </c>
      <c r="AE30" s="94" t="str">
        <f>""</f>
        <v/>
      </c>
      <c r="AF30" s="87"/>
      <c r="AG30" s="87"/>
      <c r="AH30" s="87"/>
    </row>
    <row r="31" spans="1:34" ht="24" customHeight="1" x14ac:dyDescent="0.2">
      <c r="A31" s="96">
        <v>5</v>
      </c>
      <c r="B31" s="97" t="s">
        <v>310</v>
      </c>
      <c r="C31" s="97" t="s">
        <v>85</v>
      </c>
      <c r="D31" s="97" t="s">
        <v>85</v>
      </c>
      <c r="E31" s="98">
        <f>SUM(E29:E30)</f>
        <v>100</v>
      </c>
      <c r="F31" s="98">
        <f>SUM(F29:F30)</f>
        <v>1136.2368000005681</v>
      </c>
      <c r="G31" s="98"/>
      <c r="H31" s="98">
        <f>SUM(H29:H30)</f>
        <v>0</v>
      </c>
      <c r="I31" s="98">
        <f>SUM(I29:I30)</f>
        <v>0</v>
      </c>
      <c r="J31" s="98">
        <f>SUM(J29:J30)</f>
        <v>227.24736000011362</v>
      </c>
      <c r="K31" s="98">
        <f>SUM(K29:K30)</f>
        <v>227.24736000011362</v>
      </c>
      <c r="L31" s="98"/>
      <c r="M31" s="98">
        <f>SUM(M29:M30)</f>
        <v>303.59577600015166</v>
      </c>
      <c r="N31" s="98"/>
      <c r="O31" s="98">
        <f>SUM(O29:O30)</f>
        <v>0</v>
      </c>
      <c r="P31" s="98">
        <f>SUM(P29:P30)</f>
        <v>1439.8325760007197</v>
      </c>
      <c r="Q31" s="98">
        <f>SUM(Q29:Q30)</f>
        <v>287.96651520014393</v>
      </c>
      <c r="R31" s="98">
        <f>SUM(R29:R30)</f>
        <v>1727.7990912008636</v>
      </c>
      <c r="S31" s="98">
        <f>SUM(S29:S30)</f>
        <v>0</v>
      </c>
      <c r="T31" s="98"/>
      <c r="U31" s="98">
        <f t="shared" ref="U31:AA31" si="7">SUM(U29:U30)</f>
        <v>0</v>
      </c>
      <c r="V31" s="98">
        <f t="shared" si="7"/>
        <v>0</v>
      </c>
      <c r="W31" s="98">
        <f t="shared" si="7"/>
        <v>60.719155200030315</v>
      </c>
      <c r="X31" s="98">
        <f t="shared" si="7"/>
        <v>60.719155200030315</v>
      </c>
      <c r="Y31" s="98">
        <f t="shared" si="7"/>
        <v>0</v>
      </c>
      <c r="Z31" s="98">
        <f t="shared" si="7"/>
        <v>60.719155200030315</v>
      </c>
      <c r="AA31" s="98">
        <f t="shared" si="7"/>
        <v>863.89954560043179</v>
      </c>
      <c r="AB31" s="98">
        <f>IF((AA13+AA14+AA15+AA17+AA18+AA19+AA20+AA22+AA23+AA24+AA26+AA27+AA29+AA30)=0,"",(AA13+AA14+AA15+AA17+AA18+AA19+AA20+AA22+AA23+AA24+AA26+AA27+AA29+AA30)/$I$7*100-100)</f>
        <v>91.015723520000876</v>
      </c>
      <c r="AC31" s="98">
        <f>SUM(AC29:AC30)</f>
        <v>719.91628800035983</v>
      </c>
      <c r="AD31" s="98">
        <f>SUM(AD29:AD30)</f>
        <v>143.98325760007197</v>
      </c>
      <c r="AE31" s="96" t="str">
        <f>IF(ABS(SUM(E29:E30)-100)&lt;0.0001,"ОК","ПОМИЛКА: сума часток = "&amp;ROUND(SUM(E29:E30),2)&amp;"%")</f>
        <v>ОК</v>
      </c>
      <c r="AF31" s="87"/>
      <c r="AG31" s="87"/>
      <c r="AH31" s="87"/>
    </row>
    <row r="32" spans="1:34" ht="27.95" customHeight="1" x14ac:dyDescent="0.2">
      <c r="A32" s="94">
        <v>6</v>
      </c>
      <c r="B32" s="93" t="s">
        <v>163</v>
      </c>
      <c r="C32" s="93" t="s">
        <v>305</v>
      </c>
      <c r="D32" s="93" t="s">
        <v>90</v>
      </c>
      <c r="E32" s="95">
        <f>'Модель 0-0'!E32</f>
        <v>100</v>
      </c>
      <c r="F32" s="95">
        <f>AC31*E32/100</f>
        <v>719.91628800035983</v>
      </c>
      <c r="G32" s="95">
        <f>IF($D32="Експорт",$C$8,$C$5)</f>
        <v>20</v>
      </c>
      <c r="H32" s="95">
        <f>IF($C32="Імпорт",$F32*$I$4/100,0)</f>
        <v>0</v>
      </c>
      <c r="I32" s="95">
        <f>IF($C32="Зовнішній ПДВ",$F32*$I$5/100,0)</f>
        <v>0</v>
      </c>
      <c r="J32" s="95">
        <f>AD31*E32/100</f>
        <v>143.98325760007197</v>
      </c>
      <c r="K32" s="95">
        <f>H32+I32+J32</f>
        <v>143.98325760007197</v>
      </c>
      <c r="L32" s="95">
        <f>M32/F32*100</f>
        <v>27.832848832557595</v>
      </c>
      <c r="M32" s="95">
        <f>'Модель 0-0'!M32</f>
        <v>200.37321216010011</v>
      </c>
      <c r="N32" s="95">
        <f>O32/(F32+M32)*100</f>
        <v>0</v>
      </c>
      <c r="O32" s="95">
        <f>0</f>
        <v>0</v>
      </c>
      <c r="P32" s="95">
        <f>F32+M32+O32</f>
        <v>920.28950016045997</v>
      </c>
      <c r="Q32" s="95">
        <f>P32*G32/100</f>
        <v>184.05790003209199</v>
      </c>
      <c r="R32" s="95">
        <f>P32+Q32</f>
        <v>1104.347400192552</v>
      </c>
      <c r="S32" s="95">
        <f>O32</f>
        <v>0</v>
      </c>
      <c r="T32" s="95">
        <f>$C$6</f>
        <v>18</v>
      </c>
      <c r="U32" s="95">
        <f>S32*T32/100</f>
        <v>0</v>
      </c>
      <c r="V32" s="95">
        <f>S32-U32</f>
        <v>0</v>
      </c>
      <c r="W32" s="95">
        <f>Q32-K32</f>
        <v>40.074642432020028</v>
      </c>
      <c r="X32" s="95">
        <f>H32+W32</f>
        <v>40.074642432020028</v>
      </c>
      <c r="Y32" s="95">
        <f>V32</f>
        <v>0</v>
      </c>
      <c r="Z32" s="95">
        <f>X32+U32</f>
        <v>40.074642432020028</v>
      </c>
      <c r="AA32" s="95">
        <f>IF($D32&lt;&gt;"Перехід",R32,0)</f>
        <v>1104.347400192552</v>
      </c>
      <c r="AB32" s="95">
        <f>IF(AA32=0,"",(AA13+AA14+AA15+AA17+AA18+AA19+AA20+AA22+AA23+AA24+AA26+AA27+AA29+AA30+AA32)/$I$7*100-100)</f>
        <v>127.82730352641926</v>
      </c>
      <c r="AC32" s="95">
        <f>IF($D32="Перехід",P32,0)</f>
        <v>0</v>
      </c>
      <c r="AD32" s="95">
        <f>IF($D32="Перехід",Q32,0)</f>
        <v>0</v>
      </c>
      <c r="AE32" s="94" t="str">
        <f>""</f>
        <v/>
      </c>
      <c r="AF32" s="87"/>
      <c r="AG32" s="87"/>
      <c r="AH32" s="87"/>
    </row>
    <row r="33" spans="1:34" ht="24" customHeight="1" x14ac:dyDescent="0.2">
      <c r="A33" s="96">
        <v>6</v>
      </c>
      <c r="B33" s="97" t="s">
        <v>311</v>
      </c>
      <c r="C33" s="97" t="s">
        <v>85</v>
      </c>
      <c r="D33" s="97" t="s">
        <v>85</v>
      </c>
      <c r="E33" s="98">
        <f>SUM(E32:E32)</f>
        <v>100</v>
      </c>
      <c r="F33" s="98">
        <f>SUM(F32:F32)</f>
        <v>719.91628800035983</v>
      </c>
      <c r="G33" s="98"/>
      <c r="H33" s="98">
        <f>SUM(H32:H32)</f>
        <v>0</v>
      </c>
      <c r="I33" s="98">
        <f>SUM(I32:I32)</f>
        <v>0</v>
      </c>
      <c r="J33" s="98">
        <f>SUM(J32:J32)</f>
        <v>143.98325760007197</v>
      </c>
      <c r="K33" s="98">
        <f>SUM(K32:K32)</f>
        <v>143.98325760007197</v>
      </c>
      <c r="L33" s="98"/>
      <c r="M33" s="98">
        <f>SUM(M32:M32)</f>
        <v>200.37321216010011</v>
      </c>
      <c r="N33" s="98"/>
      <c r="O33" s="98">
        <f>SUM(O32:O32)</f>
        <v>0</v>
      </c>
      <c r="P33" s="98">
        <f>SUM(P32:P32)</f>
        <v>920.28950016045997</v>
      </c>
      <c r="Q33" s="98">
        <f>SUM(Q32:Q32)</f>
        <v>184.05790003209199</v>
      </c>
      <c r="R33" s="98">
        <f>SUM(R32:R32)</f>
        <v>1104.347400192552</v>
      </c>
      <c r="S33" s="98">
        <f>SUM(S32:S32)</f>
        <v>0</v>
      </c>
      <c r="T33" s="98"/>
      <c r="U33" s="98">
        <f t="shared" ref="U33:AA33" si="8">SUM(U32:U32)</f>
        <v>0</v>
      </c>
      <c r="V33" s="98">
        <f t="shared" si="8"/>
        <v>0</v>
      </c>
      <c r="W33" s="98">
        <f t="shared" si="8"/>
        <v>40.074642432020028</v>
      </c>
      <c r="X33" s="98">
        <f t="shared" si="8"/>
        <v>40.074642432020028</v>
      </c>
      <c r="Y33" s="98">
        <f t="shared" si="8"/>
        <v>0</v>
      </c>
      <c r="Z33" s="98">
        <f t="shared" si="8"/>
        <v>40.074642432020028</v>
      </c>
      <c r="AA33" s="98">
        <f t="shared" si="8"/>
        <v>1104.347400192552</v>
      </c>
      <c r="AB33" s="98">
        <f>IF((AA13+AA14+AA15+AA17+AA18+AA19+AA20+AA22+AA23+AA24+AA26+AA27+AA29+AA30+AA32)=0,"",(AA13+AA14+AA15+AA17+AA18+AA19+AA20+AA22+AA23+AA24+AA26+AA27+AA29+AA30+AA32)/$I$7*100-100)</f>
        <v>127.82730352641926</v>
      </c>
      <c r="AC33" s="98">
        <f>SUM(AC32:AC32)</f>
        <v>0</v>
      </c>
      <c r="AD33" s="98">
        <f>SUM(AD32:AD32)</f>
        <v>0</v>
      </c>
      <c r="AE33" s="96" t="str">
        <f>IF(ABS(SUM(E32:E32)-100)&lt;0.0001,"ОК","ПОМИЛКА: сума часток = "&amp;ROUND(SUM(E32:E32),2)&amp;"%")</f>
        <v>ОК</v>
      </c>
      <c r="AF33" s="87"/>
      <c r="AG33" s="87"/>
      <c r="AH33" s="87"/>
    </row>
    <row r="34" spans="1:34" ht="32.1" customHeight="1" x14ac:dyDescent="0.2">
      <c r="A34" s="99" t="s">
        <v>85</v>
      </c>
      <c r="B34" s="100" t="s">
        <v>312</v>
      </c>
      <c r="C34" s="100" t="s">
        <v>85</v>
      </c>
      <c r="D34" s="100" t="s">
        <v>85</v>
      </c>
      <c r="E34" s="101"/>
      <c r="F34" s="101">
        <f>F13+F14+F15+F17+F18+F19+F20+F22+F23+F24+F26+F27+F29+F30+F32</f>
        <v>12464.633088001832</v>
      </c>
      <c r="G34" s="101"/>
      <c r="H34" s="101">
        <f>H13+H14+H15+H17+H18+H19+H20+H22+H23+H24+H26+H27+H29+H30+H32</f>
        <v>399.99999999959999</v>
      </c>
      <c r="I34" s="101">
        <f>I13+I14+I15+I17+I18+I19+I20+I22+I23+I24+I26+I27+I29+I30+I32</f>
        <v>200.00000000040001</v>
      </c>
      <c r="J34" s="101">
        <f>J13+J14+J15+J17+J18+J19+J20+J22+J23+J24+J26+J27+J29+J30+J32</f>
        <v>1892.9266176003664</v>
      </c>
      <c r="K34" s="101">
        <f>K13+K14+K15+K17+K18+K19+K20+K22+K23+K24+K26+K27+K29+K30+K32</f>
        <v>2492.9266176003675</v>
      </c>
      <c r="L34" s="101"/>
      <c r="M34" s="101">
        <f>M13+M14+M15+M17+M18+M19+M20+M22+M23+M24+M26+M27+M29+M30+M32</f>
        <v>2878.6825881604818</v>
      </c>
      <c r="N34" s="101"/>
      <c r="O34" s="101">
        <f>O13+O14+O15+O17+O18+O19+O20+O22+O23+O24+O26+O27+O29+O30+O32</f>
        <v>0</v>
      </c>
      <c r="P34" s="101">
        <f>P13+P14+P15+P17+P18+P19+P20+P22+P23+P24+P26+P27+P29+P30+P32</f>
        <v>15343.315676162318</v>
      </c>
      <c r="Q34" s="101">
        <f>Q13+Q14+Q15+Q17+Q18+Q19+Q20+Q22+Q23+Q24+Q26+Q27+Q29+Q30+Q32</f>
        <v>2849.0631352324626</v>
      </c>
      <c r="R34" s="101">
        <f>R13+R14+R15+R17+R18+R19+R20+R22+R23+R24+R26+R27+R29+R30+R32</f>
        <v>18192.378811394781</v>
      </c>
      <c r="S34" s="101">
        <f>S13+S14+S15+S17+S18+S19+S20+S22+S23+S24+S26+S27+S29+S30+S32</f>
        <v>0</v>
      </c>
      <c r="T34" s="101"/>
      <c r="U34" s="101">
        <f t="shared" ref="U34:AA34" si="9">U13+U14+U15+U17+U18+U19+U20+U22+U23+U24+U26+U27+U29+U30+U32</f>
        <v>0</v>
      </c>
      <c r="V34" s="101">
        <f t="shared" si="9"/>
        <v>0</v>
      </c>
      <c r="W34" s="101">
        <f t="shared" si="9"/>
        <v>356.13651763209623</v>
      </c>
      <c r="X34" s="101">
        <f t="shared" si="9"/>
        <v>756.13651763169651</v>
      </c>
      <c r="Y34" s="101">
        <f t="shared" si="9"/>
        <v>0</v>
      </c>
      <c r="Z34" s="101">
        <f t="shared" si="9"/>
        <v>756.13651763169651</v>
      </c>
      <c r="AA34" s="101">
        <f t="shared" si="9"/>
        <v>6834.8191057925778</v>
      </c>
      <c r="AB34" s="101">
        <f>IF($I$7=0,0,AA34/$I$7*100-100)</f>
        <v>127.82730352641926</v>
      </c>
      <c r="AC34" s="101">
        <f>AC13+AC14+AC15+AC17+AC18+AC19+AC20+AC22+AC23+AC24+AC26+AC27+AC29+AC30+AC32</f>
        <v>9464.6330880018359</v>
      </c>
      <c r="AD34" s="101">
        <f>AD13+AD14+AD15+AD17+AD18+AD19+AD20+AD22+AD23+AD24+AD26+AD27+AD29+AD30+AD32</f>
        <v>1892.9266176003669</v>
      </c>
      <c r="AE34" s="99" t="str">
        <f>IF(COUNTIF(AE13:AE33,"ПОМИЛКА*")&gt;0,"ПОМИЛКА","ОК")</f>
        <v>ОК</v>
      </c>
      <c r="AF34" s="87"/>
      <c r="AG34" s="87"/>
      <c r="AH34" s="87"/>
    </row>
    <row r="35" spans="1:34" ht="9" customHeight="1" x14ac:dyDescent="0.2">
      <c r="A35" s="87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</row>
    <row r="36" spans="1:34" ht="26.1" customHeight="1" x14ac:dyDescent="0.2">
      <c r="A36" s="162" t="s">
        <v>313</v>
      </c>
      <c r="B36" s="162"/>
      <c r="C36" s="162"/>
      <c r="D36" s="162"/>
      <c r="E36" s="162"/>
      <c r="F36" s="162"/>
      <c r="G36" s="162"/>
      <c r="H36" s="162"/>
      <c r="I36" s="162"/>
      <c r="J36" s="102"/>
      <c r="K36" s="102"/>
      <c r="L36" s="102"/>
      <c r="M36" s="102"/>
      <c r="N36" s="102"/>
      <c r="O36" s="102"/>
      <c r="P36" s="102"/>
      <c r="Q36" s="102"/>
      <c r="R36" s="102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</row>
    <row r="37" spans="1:34" ht="32.1" customHeight="1" x14ac:dyDescent="0.2">
      <c r="A37" s="171" t="s">
        <v>258</v>
      </c>
      <c r="B37" s="172"/>
      <c r="C37" s="173"/>
      <c r="D37" s="164" t="s">
        <v>314</v>
      </c>
      <c r="E37" s="164"/>
      <c r="F37" s="164"/>
      <c r="G37" s="164" t="s">
        <v>315</v>
      </c>
      <c r="H37" s="164"/>
      <c r="I37" s="164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</row>
    <row r="38" spans="1:34" ht="23.1" customHeight="1" x14ac:dyDescent="0.2">
      <c r="A38" s="165" t="s">
        <v>316</v>
      </c>
      <c r="B38" s="166"/>
      <c r="C38" s="167"/>
      <c r="D38" s="163">
        <f>C7</f>
        <v>3000</v>
      </c>
      <c r="E38" s="163"/>
      <c r="F38" s="163"/>
      <c r="G38" s="163">
        <v>3000</v>
      </c>
      <c r="H38" s="163"/>
      <c r="I38" s="163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</row>
    <row r="39" spans="1:34" ht="23.1" customHeight="1" x14ac:dyDescent="0.2">
      <c r="A39" s="165" t="s">
        <v>284</v>
      </c>
      <c r="B39" s="166"/>
      <c r="C39" s="167"/>
      <c r="D39" s="163">
        <f>I8</f>
        <v>6</v>
      </c>
      <c r="E39" s="163"/>
      <c r="F39" s="163"/>
      <c r="G39" s="163">
        <v>6</v>
      </c>
      <c r="H39" s="163"/>
      <c r="I39" s="163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</row>
    <row r="40" spans="1:34" ht="23.1" customHeight="1" x14ac:dyDescent="0.2">
      <c r="A40" s="165" t="s">
        <v>317</v>
      </c>
      <c r="B40" s="166"/>
      <c r="C40" s="167"/>
      <c r="D40" s="163">
        <f>C5</f>
        <v>20</v>
      </c>
      <c r="E40" s="163"/>
      <c r="F40" s="163"/>
      <c r="G40" s="163">
        <v>20</v>
      </c>
      <c r="H40" s="163"/>
      <c r="I40" s="163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</row>
    <row r="41" spans="1:34" ht="23.1" customHeight="1" x14ac:dyDescent="0.2">
      <c r="A41" s="165" t="s">
        <v>19</v>
      </c>
      <c r="B41" s="166"/>
      <c r="C41" s="167"/>
      <c r="D41" s="163">
        <f>C6</f>
        <v>18</v>
      </c>
      <c r="E41" s="163"/>
      <c r="F41" s="163"/>
      <c r="G41" s="163">
        <v>18</v>
      </c>
      <c r="H41" s="163"/>
      <c r="I41" s="163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</row>
    <row r="42" spans="1:34" ht="23.1" customHeight="1" x14ac:dyDescent="0.2">
      <c r="A42" s="165" t="s">
        <v>264</v>
      </c>
      <c r="B42" s="166"/>
      <c r="C42" s="167"/>
      <c r="D42" s="163">
        <f>M34</f>
        <v>2878.6825881604818</v>
      </c>
      <c r="E42" s="163"/>
      <c r="F42" s="163"/>
      <c r="G42" s="163">
        <v>2878.68</v>
      </c>
      <c r="H42" s="163"/>
      <c r="I42" s="163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</row>
    <row r="43" spans="1:34" ht="23.1" customHeight="1" x14ac:dyDescent="0.2">
      <c r="A43" s="165" t="s">
        <v>271</v>
      </c>
      <c r="B43" s="166"/>
      <c r="C43" s="167"/>
      <c r="D43" s="163">
        <f>Y34</f>
        <v>0</v>
      </c>
      <c r="E43" s="163"/>
      <c r="F43" s="163"/>
      <c r="G43" s="163">
        <v>0</v>
      </c>
      <c r="H43" s="163"/>
      <c r="I43" s="163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</row>
    <row r="44" spans="1:34" ht="23.1" customHeight="1" x14ac:dyDescent="0.2">
      <c r="A44" s="165" t="s">
        <v>275</v>
      </c>
      <c r="B44" s="166"/>
      <c r="C44" s="167"/>
      <c r="D44" s="163">
        <f>O34</f>
        <v>0</v>
      </c>
      <c r="E44" s="163"/>
      <c r="F44" s="163"/>
      <c r="G44" s="163">
        <v>0</v>
      </c>
      <c r="H44" s="163"/>
      <c r="I44" s="163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</row>
    <row r="45" spans="1:34" ht="23.1" customHeight="1" x14ac:dyDescent="0.2">
      <c r="A45" s="165" t="s">
        <v>318</v>
      </c>
      <c r="B45" s="166"/>
      <c r="C45" s="167"/>
      <c r="D45" s="163">
        <f>P34</f>
        <v>15343.315676162318</v>
      </c>
      <c r="E45" s="163"/>
      <c r="F45" s="163"/>
      <c r="G45" s="163">
        <v>15343.32</v>
      </c>
      <c r="H45" s="163"/>
      <c r="I45" s="163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</row>
    <row r="46" spans="1:34" ht="23.1" customHeight="1" x14ac:dyDescent="0.2">
      <c r="A46" s="165" t="s">
        <v>319</v>
      </c>
      <c r="B46" s="166"/>
      <c r="C46" s="167"/>
      <c r="D46" s="163">
        <f>R34</f>
        <v>18192.378811394781</v>
      </c>
      <c r="E46" s="163"/>
      <c r="F46" s="163"/>
      <c r="G46" s="163">
        <v>18192.38</v>
      </c>
      <c r="H46" s="163"/>
      <c r="I46" s="163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</row>
    <row r="47" spans="1:34" ht="23.1" customHeight="1" x14ac:dyDescent="0.2">
      <c r="A47" s="165" t="s">
        <v>60</v>
      </c>
      <c r="B47" s="166"/>
      <c r="C47" s="167"/>
      <c r="D47" s="163">
        <f>U34</f>
        <v>0</v>
      </c>
      <c r="E47" s="163"/>
      <c r="F47" s="163"/>
      <c r="G47" s="163">
        <v>0</v>
      </c>
      <c r="H47" s="163"/>
      <c r="I47" s="163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</row>
    <row r="48" spans="1:34" ht="23.1" customHeight="1" x14ac:dyDescent="0.2">
      <c r="A48" s="165" t="s">
        <v>62</v>
      </c>
      <c r="B48" s="166"/>
      <c r="C48" s="167"/>
      <c r="D48" s="163">
        <f>W34</f>
        <v>356.13651763209623</v>
      </c>
      <c r="E48" s="163"/>
      <c r="F48" s="163"/>
      <c r="G48" s="163">
        <v>356.14</v>
      </c>
      <c r="H48" s="163"/>
      <c r="I48" s="163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</row>
    <row r="49" spans="1:34" ht="23.1" customHeight="1" x14ac:dyDescent="0.2">
      <c r="A49" s="165" t="s">
        <v>281</v>
      </c>
      <c r="B49" s="166"/>
      <c r="C49" s="167"/>
      <c r="D49" s="163">
        <f>X34</f>
        <v>756.13651763169651</v>
      </c>
      <c r="E49" s="163"/>
      <c r="F49" s="163"/>
      <c r="G49" s="163">
        <v>756.14</v>
      </c>
      <c r="H49" s="163"/>
      <c r="I49" s="163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</row>
    <row r="50" spans="1:34" ht="23.1" customHeight="1" x14ac:dyDescent="0.2">
      <c r="A50" s="165" t="s">
        <v>286</v>
      </c>
      <c r="B50" s="166"/>
      <c r="C50" s="167"/>
      <c r="D50" s="163">
        <f>Z34</f>
        <v>756.13651763169651</v>
      </c>
      <c r="E50" s="163"/>
      <c r="F50" s="163"/>
      <c r="G50" s="163">
        <v>756.14</v>
      </c>
      <c r="H50" s="163"/>
      <c r="I50" s="163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</row>
    <row r="51" spans="1:34" ht="21" customHeight="1" x14ac:dyDescent="0.2">
      <c r="A51" s="87"/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87"/>
      <c r="AE51" s="87"/>
      <c r="AF51" s="87"/>
      <c r="AG51" s="87"/>
      <c r="AH51" s="87"/>
    </row>
    <row r="52" spans="1:34" ht="27.95" customHeight="1" x14ac:dyDescent="0.2">
      <c r="A52" s="168"/>
      <c r="B52" s="168"/>
      <c r="C52" s="168"/>
      <c r="D52" s="168"/>
      <c r="E52" s="168"/>
      <c r="F52" s="168"/>
      <c r="G52" s="168"/>
      <c r="H52" s="168"/>
      <c r="I52" s="168"/>
      <c r="J52" s="168"/>
      <c r="K52" s="168"/>
      <c r="L52" s="168"/>
      <c r="M52" s="168"/>
      <c r="N52" s="168"/>
      <c r="O52" s="168"/>
      <c r="P52" s="168"/>
      <c r="Q52" s="168"/>
      <c r="R52" s="168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87"/>
      <c r="AH52" s="87"/>
    </row>
    <row r="53" spans="1:34" ht="21" customHeight="1" x14ac:dyDescent="0.2">
      <c r="A53" s="87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</row>
    <row r="54" spans="1:34" ht="21" customHeight="1" x14ac:dyDescent="0.2">
      <c r="A54" s="87"/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</row>
    <row r="55" spans="1:34" ht="21" customHeight="1" x14ac:dyDescent="0.2">
      <c r="A55" s="87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</row>
    <row r="56" spans="1:34" ht="21" customHeight="1" x14ac:dyDescent="0.2">
      <c r="A56" s="87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</row>
  </sheetData>
  <sheetProtection algorithmName="SHA-512" hashValue="WRITAAJ0T1Tdcr+9PY8N/MJlV7o4mE2CBTzEIJqv4HZ5EIoI+5O3JgBlkmoLOvprYBS7P0F/NkTI9AEKw2Exjw==" saltValue="5C5GZeXsKY/ZjLKqGVFbsg==" spinCount="100000" sheet="1" objects="1" scenarios="1"/>
  <mergeCells count="92">
    <mergeCell ref="T3:U3"/>
    <mergeCell ref="T4:U4"/>
    <mergeCell ref="T6:U6"/>
    <mergeCell ref="T8:U8"/>
    <mergeCell ref="A1:U1"/>
    <mergeCell ref="A2:U2"/>
    <mergeCell ref="A52:R52"/>
    <mergeCell ref="A4:B4"/>
    <mergeCell ref="A5:B5"/>
    <mergeCell ref="A6:B6"/>
    <mergeCell ref="A7:B7"/>
    <mergeCell ref="A8:B8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D50:F50"/>
    <mergeCell ref="G50:I50"/>
    <mergeCell ref="A50:C50"/>
    <mergeCell ref="D49:F49"/>
    <mergeCell ref="G49:I49"/>
    <mergeCell ref="A49:C49"/>
    <mergeCell ref="D48:F48"/>
    <mergeCell ref="G48:I48"/>
    <mergeCell ref="A48:C48"/>
    <mergeCell ref="D47:F47"/>
    <mergeCell ref="G47:I47"/>
    <mergeCell ref="A47:C47"/>
    <mergeCell ref="D46:F46"/>
    <mergeCell ref="G46:I46"/>
    <mergeCell ref="D45:F45"/>
    <mergeCell ref="G45:I45"/>
    <mergeCell ref="D44:F44"/>
    <mergeCell ref="G44:I44"/>
    <mergeCell ref="D43:F43"/>
    <mergeCell ref="G43:I43"/>
    <mergeCell ref="D42:F42"/>
    <mergeCell ref="G42:I42"/>
    <mergeCell ref="D41:F41"/>
    <mergeCell ref="G41:I41"/>
    <mergeCell ref="D40:F40"/>
    <mergeCell ref="G40:I40"/>
    <mergeCell ref="D39:F39"/>
    <mergeCell ref="G39:I39"/>
    <mergeCell ref="D38:F38"/>
    <mergeCell ref="G38:I38"/>
    <mergeCell ref="D37:F37"/>
    <mergeCell ref="G37:I37"/>
    <mergeCell ref="A36:I36"/>
    <mergeCell ref="P8:Q8"/>
    <mergeCell ref="R8:S8"/>
    <mergeCell ref="D8:E8"/>
    <mergeCell ref="F8:H8"/>
    <mergeCell ref="J8:K8"/>
    <mergeCell ref="L8:O8"/>
    <mergeCell ref="P6:Q6"/>
    <mergeCell ref="D7:E7"/>
    <mergeCell ref="F7:H7"/>
    <mergeCell ref="J7:K7"/>
    <mergeCell ref="L7:O7"/>
    <mergeCell ref="P7:Q7"/>
    <mergeCell ref="D6:E6"/>
    <mergeCell ref="F6:H6"/>
    <mergeCell ref="P4:Q4"/>
    <mergeCell ref="R4:S4"/>
    <mergeCell ref="R5:S5"/>
    <mergeCell ref="R6:S6"/>
    <mergeCell ref="R7:S7"/>
    <mergeCell ref="F5:H5"/>
    <mergeCell ref="J5:K5"/>
    <mergeCell ref="L5:O5"/>
    <mergeCell ref="P5:Q5"/>
    <mergeCell ref="J6:K6"/>
    <mergeCell ref="L6:O6"/>
    <mergeCell ref="D4:E4"/>
    <mergeCell ref="F4:H4"/>
    <mergeCell ref="J4:K4"/>
    <mergeCell ref="L4:O4"/>
    <mergeCell ref="D3:E3"/>
    <mergeCell ref="F3:H3"/>
    <mergeCell ref="J3:K3"/>
    <mergeCell ref="L3:O3"/>
    <mergeCell ref="P3:Q3"/>
    <mergeCell ref="R3:S3"/>
    <mergeCell ref="A3:B3"/>
    <mergeCell ref="D5:E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F766E"/>
  </sheetPr>
  <dimension ref="A1:AH56"/>
  <sheetViews>
    <sheetView showGridLines="0" workbookViewId="0">
      <pane xSplit="2" ySplit="12" topLeftCell="C13" activePane="bottomRight" state="frozen"/>
      <selection pane="topRight"/>
      <selection pane="bottomLeft"/>
      <selection pane="bottomRight" activeCell="L6" sqref="L6:O6"/>
    </sheetView>
  </sheetViews>
  <sheetFormatPr defaultRowHeight="12.75" x14ac:dyDescent="0.2"/>
  <cols>
    <col min="1" max="1" width="6" customWidth="1"/>
    <col min="2" max="2" width="26" customWidth="1"/>
    <col min="3" max="3" width="20" customWidth="1"/>
    <col min="4" max="4" width="19" customWidth="1"/>
    <col min="5" max="5" width="12" customWidth="1"/>
    <col min="6" max="6" width="17" customWidth="1"/>
    <col min="7" max="7" width="12" customWidth="1"/>
    <col min="8" max="8" width="15" customWidth="1"/>
    <col min="9" max="11" width="16" customWidth="1"/>
    <col min="12" max="12" width="12" customWidth="1"/>
    <col min="13" max="13" width="18" customWidth="1"/>
    <col min="14" max="14" width="12" customWidth="1"/>
    <col min="15" max="15" width="16" customWidth="1"/>
    <col min="16" max="16" width="18" customWidth="1"/>
    <col min="17" max="17" width="16" customWidth="1"/>
    <col min="18" max="18" width="18" customWidth="1"/>
    <col min="19" max="19" width="16" customWidth="1"/>
    <col min="20" max="20" width="12" customWidth="1"/>
    <col min="21" max="22" width="16" customWidth="1"/>
    <col min="23" max="26" width="18" customWidth="1"/>
    <col min="27" max="27" width="20" customWidth="1"/>
    <col min="28" max="30" width="18" customWidth="1"/>
    <col min="31" max="31" width="14" customWidth="1"/>
    <col min="32" max="32" width="3" customWidth="1"/>
    <col min="33" max="34" width="12" customWidth="1"/>
  </cols>
  <sheetData>
    <row r="1" spans="1:34" ht="27.95" customHeight="1" x14ac:dyDescent="0.2">
      <c r="A1" s="156" t="s">
        <v>331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</row>
    <row r="2" spans="1:34" ht="27.95" customHeight="1" x14ac:dyDescent="0.2">
      <c r="A2" s="185" t="s">
        <v>255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7"/>
      <c r="W2" s="187"/>
      <c r="X2" s="187"/>
      <c r="Y2" s="187"/>
      <c r="Z2" s="187"/>
      <c r="AA2" s="187"/>
      <c r="AB2" s="187"/>
      <c r="AC2" s="187"/>
      <c r="AD2" s="187"/>
      <c r="AE2" s="187"/>
      <c r="AF2" s="187"/>
      <c r="AG2" s="187"/>
      <c r="AH2" s="187"/>
    </row>
    <row r="3" spans="1:34" ht="26.1" customHeight="1" x14ac:dyDescent="0.2">
      <c r="A3" s="158" t="s">
        <v>2</v>
      </c>
      <c r="B3" s="159"/>
      <c r="C3" s="88" t="s">
        <v>3</v>
      </c>
      <c r="D3" s="157" t="s">
        <v>256</v>
      </c>
      <c r="E3" s="157"/>
      <c r="F3" s="157" t="s">
        <v>2</v>
      </c>
      <c r="G3" s="157"/>
      <c r="H3" s="157"/>
      <c r="I3" s="88" t="s">
        <v>3</v>
      </c>
      <c r="J3" s="157" t="s">
        <v>256</v>
      </c>
      <c r="K3" s="157"/>
      <c r="L3" s="157" t="s">
        <v>257</v>
      </c>
      <c r="M3" s="157"/>
      <c r="N3" s="157"/>
      <c r="O3" s="157"/>
      <c r="P3" s="157" t="s">
        <v>3</v>
      </c>
      <c r="Q3" s="157"/>
      <c r="R3" s="157" t="s">
        <v>258</v>
      </c>
      <c r="S3" s="157"/>
      <c r="T3" s="175" t="s">
        <v>259</v>
      </c>
      <c r="U3" s="176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9"/>
    </row>
    <row r="4" spans="1:34" ht="38.1" customHeight="1" x14ac:dyDescent="0.2">
      <c r="A4" s="169" t="s">
        <v>327</v>
      </c>
      <c r="B4" s="170"/>
      <c r="C4" s="89">
        <f>M34/F34*100</f>
        <v>19.752948450214795</v>
      </c>
      <c r="D4" s="161" t="s">
        <v>328</v>
      </c>
      <c r="E4" s="161"/>
      <c r="F4" s="161" t="s">
        <v>262</v>
      </c>
      <c r="G4" s="161"/>
      <c r="H4" s="161"/>
      <c r="I4" s="89">
        <f>'Модель 0-0'!I4</f>
        <v>20</v>
      </c>
      <c r="J4" s="161" t="s">
        <v>263</v>
      </c>
      <c r="K4" s="161"/>
      <c r="L4" s="161" t="s">
        <v>264</v>
      </c>
      <c r="M4" s="161"/>
      <c r="N4" s="161"/>
      <c r="O4" s="161"/>
      <c r="P4" s="160">
        <f>M34</f>
        <v>2878.6825881604818</v>
      </c>
      <c r="Q4" s="160"/>
      <c r="R4" s="161" t="s">
        <v>265</v>
      </c>
      <c r="S4" s="161"/>
      <c r="T4" s="177" t="s">
        <v>329</v>
      </c>
      <c r="U4" s="178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1"/>
      <c r="AH4" s="189"/>
    </row>
    <row r="5" spans="1:34" ht="38.1" customHeight="1" x14ac:dyDescent="0.2">
      <c r="A5" s="169" t="s">
        <v>267</v>
      </c>
      <c r="B5" s="170"/>
      <c r="C5" s="89">
        <f>'Модель 0-0'!C5</f>
        <v>20</v>
      </c>
      <c r="D5" s="161" t="s">
        <v>268</v>
      </c>
      <c r="E5" s="161"/>
      <c r="F5" s="161" t="s">
        <v>269</v>
      </c>
      <c r="G5" s="161"/>
      <c r="H5" s="161"/>
      <c r="I5" s="89">
        <f>'Модель 0-0'!I5</f>
        <v>20</v>
      </c>
      <c r="J5" s="161" t="s">
        <v>270</v>
      </c>
      <c r="K5" s="161"/>
      <c r="L5" s="161" t="s">
        <v>271</v>
      </c>
      <c r="M5" s="161"/>
      <c r="N5" s="161"/>
      <c r="O5" s="161"/>
      <c r="P5" s="160">
        <f>Y34</f>
        <v>1416.311833374956</v>
      </c>
      <c r="Q5" s="160"/>
      <c r="R5" s="161" t="s">
        <v>265</v>
      </c>
      <c r="S5" s="161"/>
      <c r="T5" s="116"/>
      <c r="U5" s="117"/>
      <c r="V5" s="187"/>
      <c r="W5" s="187"/>
      <c r="X5" s="187"/>
      <c r="Y5" s="187"/>
      <c r="Z5" s="187"/>
      <c r="AA5" s="187"/>
      <c r="AB5" s="187"/>
      <c r="AC5" s="187"/>
      <c r="AD5" s="187"/>
      <c r="AE5" s="187"/>
      <c r="AF5" s="187"/>
      <c r="AG5" s="192"/>
      <c r="AH5" s="189"/>
    </row>
    <row r="6" spans="1:34" ht="38.1" customHeight="1" x14ac:dyDescent="0.2">
      <c r="A6" s="169" t="s">
        <v>19</v>
      </c>
      <c r="B6" s="170"/>
      <c r="C6" s="90">
        <v>25</v>
      </c>
      <c r="D6" s="161" t="s">
        <v>272</v>
      </c>
      <c r="E6" s="161"/>
      <c r="F6" s="161" t="s">
        <v>323</v>
      </c>
      <c r="G6" s="161"/>
      <c r="H6" s="161"/>
      <c r="I6" s="89">
        <f>O34/(F34+M34)*100</f>
        <v>10.820555444384679</v>
      </c>
      <c r="J6" s="161" t="s">
        <v>324</v>
      </c>
      <c r="K6" s="161"/>
      <c r="L6" s="161" t="s">
        <v>275</v>
      </c>
      <c r="M6" s="161"/>
      <c r="N6" s="161"/>
      <c r="O6" s="161"/>
      <c r="P6" s="160">
        <f>O34</f>
        <v>1888.4157778332747</v>
      </c>
      <c r="Q6" s="160"/>
      <c r="R6" s="161" t="s">
        <v>265</v>
      </c>
      <c r="S6" s="161"/>
      <c r="T6" s="179" t="s">
        <v>332</v>
      </c>
      <c r="U6" s="180"/>
      <c r="V6" s="187"/>
      <c r="W6" s="187"/>
      <c r="X6" s="187"/>
      <c r="Y6" s="187"/>
      <c r="Z6" s="187"/>
      <c r="AA6" s="187"/>
      <c r="AB6" s="187"/>
      <c r="AC6" s="187"/>
      <c r="AD6" s="187"/>
      <c r="AE6" s="187"/>
      <c r="AF6" s="187"/>
      <c r="AG6" s="192"/>
      <c r="AH6" s="189"/>
    </row>
    <row r="7" spans="1:34" ht="38.1" customHeight="1" x14ac:dyDescent="0.2">
      <c r="A7" s="169" t="s">
        <v>277</v>
      </c>
      <c r="B7" s="170"/>
      <c r="C7" s="89">
        <f>'Модель 0-0'!C7</f>
        <v>3000</v>
      </c>
      <c r="D7" s="161" t="s">
        <v>278</v>
      </c>
      <c r="E7" s="161"/>
      <c r="F7" s="161" t="s">
        <v>279</v>
      </c>
      <c r="G7" s="161"/>
      <c r="H7" s="161"/>
      <c r="I7" s="89">
        <f>C7</f>
        <v>3000</v>
      </c>
      <c r="J7" s="161" t="s">
        <v>280</v>
      </c>
      <c r="K7" s="161"/>
      <c r="L7" s="161" t="s">
        <v>281</v>
      </c>
      <c r="M7" s="161"/>
      <c r="N7" s="161"/>
      <c r="O7" s="161"/>
      <c r="P7" s="160">
        <f>X34</f>
        <v>1088.1620731983517</v>
      </c>
      <c r="Q7" s="160"/>
      <c r="R7" s="161" t="s">
        <v>265</v>
      </c>
      <c r="S7" s="161"/>
      <c r="T7" s="116"/>
      <c r="U7" s="117"/>
      <c r="V7" s="187"/>
      <c r="W7" s="187"/>
      <c r="X7" s="187"/>
      <c r="Y7" s="187"/>
      <c r="Z7" s="187"/>
      <c r="AA7" s="187"/>
      <c r="AB7" s="187"/>
      <c r="AC7" s="187"/>
      <c r="AD7" s="187"/>
      <c r="AE7" s="187"/>
      <c r="AF7" s="187"/>
      <c r="AG7" s="192"/>
      <c r="AH7" s="189"/>
    </row>
    <row r="8" spans="1:34" ht="38.1" customHeight="1" x14ac:dyDescent="0.2">
      <c r="A8" s="169" t="s">
        <v>282</v>
      </c>
      <c r="B8" s="170"/>
      <c r="C8" s="89">
        <f>'Модель 0-0'!C8</f>
        <v>0</v>
      </c>
      <c r="D8" s="161" t="s">
        <v>283</v>
      </c>
      <c r="E8" s="161"/>
      <c r="F8" s="161" t="s">
        <v>284</v>
      </c>
      <c r="G8" s="161"/>
      <c r="H8" s="161"/>
      <c r="I8" s="91">
        <f>'Модель 0-0'!I8</f>
        <v>6</v>
      </c>
      <c r="J8" s="161" t="s">
        <v>285</v>
      </c>
      <c r="K8" s="161"/>
      <c r="L8" s="161" t="s">
        <v>286</v>
      </c>
      <c r="M8" s="161"/>
      <c r="N8" s="161"/>
      <c r="O8" s="161"/>
      <c r="P8" s="160">
        <f>Z34</f>
        <v>1560.2660176566699</v>
      </c>
      <c r="Q8" s="160"/>
      <c r="R8" s="161" t="s">
        <v>265</v>
      </c>
      <c r="S8" s="161"/>
      <c r="T8" s="181" t="s">
        <v>287</v>
      </c>
      <c r="U8" s="182"/>
      <c r="V8" s="193"/>
      <c r="W8" s="193"/>
      <c r="X8" s="193"/>
      <c r="Y8" s="193"/>
      <c r="Z8" s="193"/>
      <c r="AA8" s="193"/>
      <c r="AB8" s="193"/>
      <c r="AC8" s="193"/>
      <c r="AD8" s="193"/>
      <c r="AE8" s="193"/>
      <c r="AF8" s="193"/>
      <c r="AG8" s="194"/>
      <c r="AH8" s="189"/>
    </row>
    <row r="9" spans="1:34" ht="6.95" customHeight="1" x14ac:dyDescent="0.2">
      <c r="A9" s="87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</row>
    <row r="10" spans="1:34" ht="6.95" customHeight="1" x14ac:dyDescent="0.2">
      <c r="A10" s="87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</row>
    <row r="11" spans="1:34" ht="6.95" customHeight="1" x14ac:dyDescent="0.2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</row>
    <row r="12" spans="1:34" ht="60" customHeight="1" x14ac:dyDescent="0.2">
      <c r="A12" s="92" t="s">
        <v>40</v>
      </c>
      <c r="B12" s="92" t="s">
        <v>42</v>
      </c>
      <c r="C12" s="92" t="s">
        <v>45</v>
      </c>
      <c r="D12" s="92" t="s">
        <v>44</v>
      </c>
      <c r="E12" s="92" t="s">
        <v>41</v>
      </c>
      <c r="F12" s="92" t="s">
        <v>46</v>
      </c>
      <c r="G12" s="92" t="s">
        <v>288</v>
      </c>
      <c r="H12" s="92" t="s">
        <v>48</v>
      </c>
      <c r="I12" s="92" t="s">
        <v>289</v>
      </c>
      <c r="J12" s="92" t="s">
        <v>50</v>
      </c>
      <c r="K12" s="92" t="s">
        <v>290</v>
      </c>
      <c r="L12" s="92" t="s">
        <v>291</v>
      </c>
      <c r="M12" s="92" t="s">
        <v>264</v>
      </c>
      <c r="N12" s="92" t="s">
        <v>273</v>
      </c>
      <c r="O12" s="92" t="s">
        <v>292</v>
      </c>
      <c r="P12" s="92" t="s">
        <v>293</v>
      </c>
      <c r="Q12" s="92" t="s">
        <v>294</v>
      </c>
      <c r="R12" s="92" t="s">
        <v>295</v>
      </c>
      <c r="S12" s="92" t="s">
        <v>59</v>
      </c>
      <c r="T12" s="92" t="s">
        <v>296</v>
      </c>
      <c r="U12" s="92" t="s">
        <v>60</v>
      </c>
      <c r="V12" s="92" t="s">
        <v>61</v>
      </c>
      <c r="W12" s="92" t="s">
        <v>62</v>
      </c>
      <c r="X12" s="92" t="s">
        <v>281</v>
      </c>
      <c r="Y12" s="92" t="s">
        <v>297</v>
      </c>
      <c r="Z12" s="92" t="s">
        <v>286</v>
      </c>
      <c r="AA12" s="92" t="s">
        <v>65</v>
      </c>
      <c r="AB12" s="92" t="s">
        <v>298</v>
      </c>
      <c r="AC12" s="92" t="s">
        <v>66</v>
      </c>
      <c r="AD12" s="92" t="s">
        <v>299</v>
      </c>
      <c r="AE12" s="92" t="s">
        <v>300</v>
      </c>
      <c r="AF12" s="87"/>
      <c r="AG12" s="87"/>
      <c r="AH12" s="87"/>
    </row>
    <row r="13" spans="1:34" ht="27.95" customHeight="1" x14ac:dyDescent="0.2">
      <c r="A13" s="94">
        <v>1</v>
      </c>
      <c r="B13" s="93" t="s">
        <v>301</v>
      </c>
      <c r="C13" s="93" t="s">
        <v>77</v>
      </c>
      <c r="D13" s="93" t="s">
        <v>75</v>
      </c>
      <c r="E13" s="95">
        <f>'Модель 0-0'!E13</f>
        <v>33.333333333299997</v>
      </c>
      <c r="F13" s="95">
        <f>$C$7*E13/100</f>
        <v>999.9999999989999</v>
      </c>
      <c r="G13" s="95">
        <f>IF($D13="Експорт",$C$8,$C$5)</f>
        <v>20</v>
      </c>
      <c r="H13" s="95">
        <f>IF($C13="Імпорт",$F13*$I$4/100,0)</f>
        <v>199.9999999998</v>
      </c>
      <c r="I13" s="95">
        <f>IF($C13="Зовнішній ПДВ",$F13*$I$5/100,0)</f>
        <v>0</v>
      </c>
      <c r="J13" s="95">
        <f>0</f>
        <v>0</v>
      </c>
      <c r="K13" s="95">
        <f>H13+I13+J13</f>
        <v>199.9999999998</v>
      </c>
      <c r="L13" s="95">
        <f>M13/F13*100</f>
        <v>20</v>
      </c>
      <c r="M13" s="95">
        <f>'Модель 0-0'!M13</f>
        <v>199.9999999998</v>
      </c>
      <c r="N13" s="95">
        <f>O13/(F13+M13)*100</f>
        <v>10.933333333333341</v>
      </c>
      <c r="O13" s="95">
        <f>'Модель 0-0'!Y13/(1-$C$6/100)</f>
        <v>131.19999999986888</v>
      </c>
      <c r="P13" s="95">
        <f>F13+M13+O13</f>
        <v>1331.1999999986688</v>
      </c>
      <c r="Q13" s="95">
        <f>P13*G13/100</f>
        <v>266.23999999973375</v>
      </c>
      <c r="R13" s="95">
        <f>P13+Q13</f>
        <v>1597.4399999984025</v>
      </c>
      <c r="S13" s="95">
        <f>O13</f>
        <v>131.19999999986888</v>
      </c>
      <c r="T13" s="95">
        <f>$C$6</f>
        <v>25</v>
      </c>
      <c r="U13" s="95">
        <f>S13*T13/100</f>
        <v>32.79999999996722</v>
      </c>
      <c r="V13" s="95">
        <f>S13-U13</f>
        <v>98.399999999901667</v>
      </c>
      <c r="W13" s="95">
        <f>Q13-K13</f>
        <v>66.239999999933758</v>
      </c>
      <c r="X13" s="95">
        <f>H13+W13</f>
        <v>266.23999999973375</v>
      </c>
      <c r="Y13" s="95">
        <f>V13</f>
        <v>98.399999999901667</v>
      </c>
      <c r="Z13" s="95">
        <f>X13+U13</f>
        <v>299.03999999970097</v>
      </c>
      <c r="AA13" s="95">
        <f>IF($D13&lt;&gt;"Перехід",R13,0)</f>
        <v>0</v>
      </c>
      <c r="AB13" s="95" t="str">
        <f>IF(AA13=0,"",(AA13)/$I$7*100-100)</f>
        <v/>
      </c>
      <c r="AC13" s="95">
        <f t="shared" ref="AC13:AD15" si="0">IF($D13="Перехід",P13,0)</f>
        <v>1331.1999999986688</v>
      </c>
      <c r="AD13" s="95">
        <f t="shared" si="0"/>
        <v>266.23999999973375</v>
      </c>
      <c r="AE13" s="94" t="str">
        <f>""</f>
        <v/>
      </c>
      <c r="AF13" s="87"/>
      <c r="AG13" s="87"/>
      <c r="AH13" s="87"/>
    </row>
    <row r="14" spans="1:34" ht="27.95" customHeight="1" x14ac:dyDescent="0.2">
      <c r="A14" s="94">
        <v>1</v>
      </c>
      <c r="B14" s="93" t="s">
        <v>302</v>
      </c>
      <c r="C14" s="93" t="s">
        <v>77</v>
      </c>
      <c r="D14" s="93" t="s">
        <v>75</v>
      </c>
      <c r="E14" s="95">
        <f>'Модель 0-0'!E14</f>
        <v>33.333333333299997</v>
      </c>
      <c r="F14" s="95">
        <f>$C$7*E14/100</f>
        <v>999.9999999989999</v>
      </c>
      <c r="G14" s="95">
        <f>IF($D14="Експорт",$C$8,$C$5)</f>
        <v>20</v>
      </c>
      <c r="H14" s="95">
        <f>IF($C14="Імпорт",$F14*$I$4/100,0)</f>
        <v>199.9999999998</v>
      </c>
      <c r="I14" s="95">
        <f>IF($C14="Зовнішній ПДВ",$F14*$I$5/100,0)</f>
        <v>0</v>
      </c>
      <c r="J14" s="95">
        <f>0</f>
        <v>0</v>
      </c>
      <c r="K14" s="95">
        <f>H14+I14+J14</f>
        <v>199.9999999998</v>
      </c>
      <c r="L14" s="95">
        <f>M14/F14*100</f>
        <v>20</v>
      </c>
      <c r="M14" s="95">
        <f>'Модель 0-0'!M14</f>
        <v>199.9999999998</v>
      </c>
      <c r="N14" s="95">
        <f>O14/(F14+M14)*100</f>
        <v>10.933333333333341</v>
      </c>
      <c r="O14" s="95">
        <f>'Модель 0-0'!Y14/(1-$C$6/100)</f>
        <v>131.19999999986888</v>
      </c>
      <c r="P14" s="95">
        <f>F14+M14+O14</f>
        <v>1331.1999999986688</v>
      </c>
      <c r="Q14" s="95">
        <f>P14*G14/100</f>
        <v>266.23999999973375</v>
      </c>
      <c r="R14" s="95">
        <f>P14+Q14</f>
        <v>1597.4399999984025</v>
      </c>
      <c r="S14" s="95">
        <f>O14</f>
        <v>131.19999999986888</v>
      </c>
      <c r="T14" s="95">
        <f>$C$6</f>
        <v>25</v>
      </c>
      <c r="U14" s="95">
        <f>S14*T14/100</f>
        <v>32.79999999996722</v>
      </c>
      <c r="V14" s="95">
        <f>S14-U14</f>
        <v>98.399999999901667</v>
      </c>
      <c r="W14" s="95">
        <f>Q14-K14</f>
        <v>66.239999999933758</v>
      </c>
      <c r="X14" s="95">
        <f>H14+W14</f>
        <v>266.23999999973375</v>
      </c>
      <c r="Y14" s="95">
        <f>V14</f>
        <v>98.399999999901667</v>
      </c>
      <c r="Z14" s="95">
        <f>X14+U14</f>
        <v>299.03999999970097</v>
      </c>
      <c r="AA14" s="95">
        <f>IF($D14&lt;&gt;"Перехід",R14,0)</f>
        <v>0</v>
      </c>
      <c r="AB14" s="95" t="str">
        <f>IF(AA14=0,"",(AA13+AA14)/$I$7*100-100)</f>
        <v/>
      </c>
      <c r="AC14" s="95">
        <f t="shared" si="0"/>
        <v>1331.1999999986688</v>
      </c>
      <c r="AD14" s="95">
        <f t="shared" si="0"/>
        <v>266.23999999973375</v>
      </c>
      <c r="AE14" s="94" t="str">
        <f>""</f>
        <v/>
      </c>
      <c r="AF14" s="87"/>
      <c r="AG14" s="87"/>
      <c r="AH14" s="87"/>
    </row>
    <row r="15" spans="1:34" ht="27.95" customHeight="1" x14ac:dyDescent="0.2">
      <c r="A15" s="94">
        <v>1</v>
      </c>
      <c r="B15" s="93" t="s">
        <v>81</v>
      </c>
      <c r="C15" s="93" t="s">
        <v>303</v>
      </c>
      <c r="D15" s="93" t="s">
        <v>75</v>
      </c>
      <c r="E15" s="95">
        <f>'Модель 0-0'!E15</f>
        <v>33.333333333399999</v>
      </c>
      <c r="F15" s="95">
        <f>$C$7*E15/100</f>
        <v>1000.000000002</v>
      </c>
      <c r="G15" s="95">
        <f>IF($D15="Експорт",$C$8,$C$5)</f>
        <v>20</v>
      </c>
      <c r="H15" s="95">
        <f>IF($C15="Імпорт",$F15*$I$4/100,0)</f>
        <v>0</v>
      </c>
      <c r="I15" s="95">
        <f>IF($C15="Зовнішній ПДВ",$F15*$I$5/100,0)</f>
        <v>200.00000000040001</v>
      </c>
      <c r="J15" s="95">
        <f>0</f>
        <v>0</v>
      </c>
      <c r="K15" s="95">
        <f>H15+I15+J15</f>
        <v>200.00000000040001</v>
      </c>
      <c r="L15" s="95">
        <f>M15/F15*100</f>
        <v>20</v>
      </c>
      <c r="M15" s="95">
        <f>'Модель 0-0'!M15</f>
        <v>200.00000000040001</v>
      </c>
      <c r="N15" s="95">
        <f>O15/(F15+M15)*100</f>
        <v>10.933333333333323</v>
      </c>
      <c r="O15" s="95">
        <f>'Модель 0-0'!Y15/(1-$C$6/100)</f>
        <v>131.20000000026226</v>
      </c>
      <c r="P15" s="95">
        <f>F15+M15+O15</f>
        <v>1331.2000000026621</v>
      </c>
      <c r="Q15" s="95">
        <f>P15*G15/100</f>
        <v>266.2400000005324</v>
      </c>
      <c r="R15" s="95">
        <f>P15+Q15</f>
        <v>1597.4400000031947</v>
      </c>
      <c r="S15" s="95">
        <f>O15</f>
        <v>131.20000000026226</v>
      </c>
      <c r="T15" s="95">
        <f>$C$6</f>
        <v>25</v>
      </c>
      <c r="U15" s="95">
        <f>S15*T15/100</f>
        <v>32.800000000065566</v>
      </c>
      <c r="V15" s="95">
        <f>S15-U15</f>
        <v>98.400000000196698</v>
      </c>
      <c r="W15" s="95">
        <f>Q15-K15</f>
        <v>66.240000000132397</v>
      </c>
      <c r="X15" s="95">
        <f>H15+W15</f>
        <v>66.240000000132397</v>
      </c>
      <c r="Y15" s="95">
        <f>V15</f>
        <v>98.400000000196698</v>
      </c>
      <c r="Z15" s="95">
        <f>X15+U15</f>
        <v>99.040000000197963</v>
      </c>
      <c r="AA15" s="95">
        <f>IF($D15&lt;&gt;"Перехід",R15,0)</f>
        <v>0</v>
      </c>
      <c r="AB15" s="95" t="str">
        <f>IF(AA15=0,"",(AA13+AA14+AA15)/$I$7*100-100)</f>
        <v/>
      </c>
      <c r="AC15" s="95">
        <f t="shared" si="0"/>
        <v>1331.2000000026621</v>
      </c>
      <c r="AD15" s="95">
        <f t="shared" si="0"/>
        <v>266.2400000005324</v>
      </c>
      <c r="AE15" s="94" t="str">
        <f>""</f>
        <v/>
      </c>
      <c r="AF15" s="87"/>
      <c r="AG15" s="87"/>
      <c r="AH15" s="87"/>
    </row>
    <row r="16" spans="1:34" ht="24" customHeight="1" x14ac:dyDescent="0.2">
      <c r="A16" s="96">
        <v>1</v>
      </c>
      <c r="B16" s="97" t="s">
        <v>304</v>
      </c>
      <c r="C16" s="97" t="s">
        <v>85</v>
      </c>
      <c r="D16" s="97" t="s">
        <v>85</v>
      </c>
      <c r="E16" s="98">
        <f>SUM(E13:E15)</f>
        <v>100</v>
      </c>
      <c r="F16" s="98">
        <f>SUM(F13:F15)</f>
        <v>3000</v>
      </c>
      <c r="G16" s="98"/>
      <c r="H16" s="98">
        <f>SUM(H13:H15)</f>
        <v>399.99999999959999</v>
      </c>
      <c r="I16" s="98">
        <f>SUM(I13:I15)</f>
        <v>200.00000000040001</v>
      </c>
      <c r="J16" s="98">
        <f>SUM(J13:J15)</f>
        <v>0</v>
      </c>
      <c r="K16" s="98">
        <f>SUM(K13:K15)</f>
        <v>600</v>
      </c>
      <c r="L16" s="98"/>
      <c r="M16" s="98">
        <f>SUM(M13:M15)</f>
        <v>600</v>
      </c>
      <c r="N16" s="98"/>
      <c r="O16" s="98">
        <f>SUM(O13:O15)</f>
        <v>393.6</v>
      </c>
      <c r="P16" s="98">
        <f>SUM(P13:P15)</f>
        <v>3993.5999999999995</v>
      </c>
      <c r="Q16" s="98">
        <f>SUM(Q13:Q15)</f>
        <v>798.71999999999991</v>
      </c>
      <c r="R16" s="98">
        <f>SUM(R13:R15)</f>
        <v>4792.32</v>
      </c>
      <c r="S16" s="98">
        <f>SUM(S13:S15)</f>
        <v>393.6</v>
      </c>
      <c r="T16" s="98"/>
      <c r="U16" s="98">
        <f t="shared" ref="U16:AA16" si="1">SUM(U13:U15)</f>
        <v>98.4</v>
      </c>
      <c r="V16" s="98">
        <f t="shared" si="1"/>
        <v>295.20000000000005</v>
      </c>
      <c r="W16" s="98">
        <f t="shared" si="1"/>
        <v>198.71999999999991</v>
      </c>
      <c r="X16" s="98">
        <f t="shared" si="1"/>
        <v>598.71999999959985</v>
      </c>
      <c r="Y16" s="98">
        <f t="shared" si="1"/>
        <v>295.20000000000005</v>
      </c>
      <c r="Z16" s="98">
        <f t="shared" si="1"/>
        <v>697.11999999959994</v>
      </c>
      <c r="AA16" s="98">
        <f t="shared" si="1"/>
        <v>0</v>
      </c>
      <c r="AB16" s="98" t="str">
        <f>IF((AA13+AA14+AA15)=0,"",(AA13+AA14+AA15)/$I$7*100-100)</f>
        <v/>
      </c>
      <c r="AC16" s="98">
        <f>SUM(AC13:AC15)</f>
        <v>3993.5999999999995</v>
      </c>
      <c r="AD16" s="98">
        <f>SUM(AD13:AD15)</f>
        <v>798.71999999999991</v>
      </c>
      <c r="AE16" s="96" t="str">
        <f>IF(ABS(SUM(E13:E15)-100)&lt;0.0001,"ОК","ПОМИЛКА: сума часток = "&amp;ROUND(SUM(E13:E15),2)&amp;"%")</f>
        <v>ОК</v>
      </c>
      <c r="AF16" s="87"/>
      <c r="AG16" s="87"/>
      <c r="AH16" s="87"/>
    </row>
    <row r="17" spans="1:34" ht="27.95" customHeight="1" x14ac:dyDescent="0.2">
      <c r="A17" s="94">
        <v>2</v>
      </c>
      <c r="B17" s="93" t="s">
        <v>163</v>
      </c>
      <c r="C17" s="93" t="s">
        <v>305</v>
      </c>
      <c r="D17" s="93" t="s">
        <v>90</v>
      </c>
      <c r="E17" s="95">
        <f>'Модель 0-0'!E17</f>
        <v>25</v>
      </c>
      <c r="F17" s="95">
        <f>AC16*E17/100</f>
        <v>998.39999999999986</v>
      </c>
      <c r="G17" s="95">
        <f>IF($D17="Експорт",$C$8,$C$5)</f>
        <v>20</v>
      </c>
      <c r="H17" s="95">
        <f>IF($C17="Імпорт",$F17*$I$4/100,0)</f>
        <v>0</v>
      </c>
      <c r="I17" s="95">
        <f>IF($C17="Зовнішній ПДВ",$F17*$I$5/100,0)</f>
        <v>0</v>
      </c>
      <c r="J17" s="95">
        <f>AD16*E17/100</f>
        <v>199.67999999999995</v>
      </c>
      <c r="K17" s="95">
        <f>H17+I17+J17</f>
        <v>199.67999999999995</v>
      </c>
      <c r="L17" s="95">
        <f>M17/F17*100</f>
        <v>19.831730769230766</v>
      </c>
      <c r="M17" s="95">
        <f>'Модель 0-0'!M17</f>
        <v>197.99999999999997</v>
      </c>
      <c r="N17" s="95">
        <f>O17/(F17+M17)*100</f>
        <v>10.856569709127371</v>
      </c>
      <c r="O17" s="95">
        <f>'Модель 0-0'!Y17/(1-$C$6/100)</f>
        <v>129.88799999999983</v>
      </c>
      <c r="P17" s="95">
        <f>F17+M17+O17</f>
        <v>1326.2879999999998</v>
      </c>
      <c r="Q17" s="95">
        <f>P17*G17/100</f>
        <v>265.25759999999997</v>
      </c>
      <c r="R17" s="95">
        <f>P17+Q17</f>
        <v>1591.5455999999997</v>
      </c>
      <c r="S17" s="95">
        <f>O17</f>
        <v>129.88799999999983</v>
      </c>
      <c r="T17" s="95">
        <f>$C$6</f>
        <v>25</v>
      </c>
      <c r="U17" s="95">
        <f>S17*T17/100</f>
        <v>32.471999999999959</v>
      </c>
      <c r="V17" s="95">
        <f>S17-U17</f>
        <v>97.415999999999883</v>
      </c>
      <c r="W17" s="95">
        <f>Q17-K17</f>
        <v>65.577600000000018</v>
      </c>
      <c r="X17" s="95">
        <f>H17+W17</f>
        <v>65.577600000000018</v>
      </c>
      <c r="Y17" s="95">
        <f>V17</f>
        <v>97.415999999999883</v>
      </c>
      <c r="Z17" s="95">
        <f>X17+U17</f>
        <v>98.04959999999997</v>
      </c>
      <c r="AA17" s="95">
        <f>IF($D17&lt;&gt;"Перехід",R17,0)</f>
        <v>1591.5455999999997</v>
      </c>
      <c r="AB17" s="95">
        <f>IF(AA17=0,"",(AA13+AA14+AA15+AA17)/$I$7*100-100)</f>
        <v>-46.948480000000018</v>
      </c>
      <c r="AC17" s="95">
        <f t="shared" ref="AC17:AD20" si="2">IF($D17="Перехід",P17,0)</f>
        <v>0</v>
      </c>
      <c r="AD17" s="95">
        <f t="shared" si="2"/>
        <v>0</v>
      </c>
      <c r="AE17" s="94" t="str">
        <f>""</f>
        <v/>
      </c>
      <c r="AF17" s="87"/>
      <c r="AG17" s="87"/>
      <c r="AH17" s="87"/>
    </row>
    <row r="18" spans="1:34" ht="27.95" customHeight="1" x14ac:dyDescent="0.2">
      <c r="A18" s="94">
        <v>2</v>
      </c>
      <c r="B18" s="93" t="s">
        <v>81</v>
      </c>
      <c r="C18" s="93" t="s">
        <v>305</v>
      </c>
      <c r="D18" s="93" t="s">
        <v>75</v>
      </c>
      <c r="E18" s="95">
        <f>'Модель 0-0'!E18</f>
        <v>25</v>
      </c>
      <c r="F18" s="95">
        <f>AC16*E18/100</f>
        <v>998.39999999999986</v>
      </c>
      <c r="G18" s="95">
        <f>IF($D18="Експорт",$C$8,$C$5)</f>
        <v>20</v>
      </c>
      <c r="H18" s="95">
        <f>IF($C18="Імпорт",$F18*$I$4/100,0)</f>
        <v>0</v>
      </c>
      <c r="I18" s="95">
        <f>IF($C18="Зовнішній ПДВ",$F18*$I$5/100,0)</f>
        <v>0</v>
      </c>
      <c r="J18" s="95">
        <f>AD16*E18/100</f>
        <v>199.67999999999995</v>
      </c>
      <c r="K18" s="95">
        <f>H18+I18+J18</f>
        <v>199.67999999999995</v>
      </c>
      <c r="L18" s="95">
        <f>M18/F18*100</f>
        <v>19.831730769230766</v>
      </c>
      <c r="M18" s="95">
        <f>'Модель 0-0'!M18</f>
        <v>197.99999999999997</v>
      </c>
      <c r="N18" s="95">
        <f>O18/(F18+M18)*100</f>
        <v>10.856569709127371</v>
      </c>
      <c r="O18" s="95">
        <f>'Модель 0-0'!Y18/(1-$C$6/100)</f>
        <v>129.88799999999983</v>
      </c>
      <c r="P18" s="95">
        <f>F18+M18+O18</f>
        <v>1326.2879999999998</v>
      </c>
      <c r="Q18" s="95">
        <f>P18*G18/100</f>
        <v>265.25759999999997</v>
      </c>
      <c r="R18" s="95">
        <f>P18+Q18</f>
        <v>1591.5455999999997</v>
      </c>
      <c r="S18" s="95">
        <f>O18</f>
        <v>129.88799999999983</v>
      </c>
      <c r="T18" s="95">
        <f>$C$6</f>
        <v>25</v>
      </c>
      <c r="U18" s="95">
        <f>S18*T18/100</f>
        <v>32.471999999999959</v>
      </c>
      <c r="V18" s="95">
        <f>S18-U18</f>
        <v>97.415999999999883</v>
      </c>
      <c r="W18" s="95">
        <f>Q18-K18</f>
        <v>65.577600000000018</v>
      </c>
      <c r="X18" s="95">
        <f>H18+W18</f>
        <v>65.577600000000018</v>
      </c>
      <c r="Y18" s="95">
        <f>V18</f>
        <v>97.415999999999883</v>
      </c>
      <c r="Z18" s="95">
        <f>X18+U18</f>
        <v>98.04959999999997</v>
      </c>
      <c r="AA18" s="95">
        <f>IF($D18&lt;&gt;"Перехід",R18,0)</f>
        <v>0</v>
      </c>
      <c r="AB18" s="95" t="str">
        <f>IF(AA18=0,"",(AA13+AA14+AA15+AA17+AA18)/$I$7*100-100)</f>
        <v/>
      </c>
      <c r="AC18" s="95">
        <f t="shared" si="2"/>
        <v>1326.2879999999998</v>
      </c>
      <c r="AD18" s="95">
        <f t="shared" si="2"/>
        <v>265.25759999999997</v>
      </c>
      <c r="AE18" s="94" t="str">
        <f>""</f>
        <v/>
      </c>
      <c r="AF18" s="87"/>
      <c r="AG18" s="87"/>
      <c r="AH18" s="87"/>
    </row>
    <row r="19" spans="1:34" ht="27.95" customHeight="1" x14ac:dyDescent="0.2">
      <c r="A19" s="94">
        <v>2</v>
      </c>
      <c r="B19" s="93" t="s">
        <v>160</v>
      </c>
      <c r="C19" s="93" t="s">
        <v>305</v>
      </c>
      <c r="D19" s="93" t="s">
        <v>75</v>
      </c>
      <c r="E19" s="95">
        <f>'Модель 0-0'!E19</f>
        <v>25</v>
      </c>
      <c r="F19" s="95">
        <f>AC16*E19/100</f>
        <v>998.39999999999986</v>
      </c>
      <c r="G19" s="95">
        <f>IF($D19="Експорт",$C$8,$C$5)</f>
        <v>20</v>
      </c>
      <c r="H19" s="95">
        <f>IF($C19="Імпорт",$F19*$I$4/100,0)</f>
        <v>0</v>
      </c>
      <c r="I19" s="95">
        <f>IF($C19="Зовнішній ПДВ",$F19*$I$5/100,0)</f>
        <v>0</v>
      </c>
      <c r="J19" s="95">
        <f>AD16*E19/100</f>
        <v>199.67999999999995</v>
      </c>
      <c r="K19" s="95">
        <f>H19+I19+J19</f>
        <v>199.67999999999995</v>
      </c>
      <c r="L19" s="95">
        <f>M19/F19*100</f>
        <v>19.831730769230766</v>
      </c>
      <c r="M19" s="95">
        <f>'Модель 0-0'!M19</f>
        <v>197.99999999999997</v>
      </c>
      <c r="N19" s="95">
        <f>O19/(F19+M19)*100</f>
        <v>10.856569709127371</v>
      </c>
      <c r="O19" s="95">
        <f>'Модель 0-0'!Y19/(1-$C$6/100)</f>
        <v>129.88799999999983</v>
      </c>
      <c r="P19" s="95">
        <f>F19+M19+O19</f>
        <v>1326.2879999999998</v>
      </c>
      <c r="Q19" s="95">
        <f>P19*G19/100</f>
        <v>265.25759999999997</v>
      </c>
      <c r="R19" s="95">
        <f>P19+Q19</f>
        <v>1591.5455999999997</v>
      </c>
      <c r="S19" s="95">
        <f>O19</f>
        <v>129.88799999999983</v>
      </c>
      <c r="T19" s="95">
        <f>$C$6</f>
        <v>25</v>
      </c>
      <c r="U19" s="95">
        <f>S19*T19/100</f>
        <v>32.471999999999959</v>
      </c>
      <c r="V19" s="95">
        <f>S19-U19</f>
        <v>97.415999999999883</v>
      </c>
      <c r="W19" s="95">
        <f>Q19-K19</f>
        <v>65.577600000000018</v>
      </c>
      <c r="X19" s="95">
        <f>H19+W19</f>
        <v>65.577600000000018</v>
      </c>
      <c r="Y19" s="95">
        <f>V19</f>
        <v>97.415999999999883</v>
      </c>
      <c r="Z19" s="95">
        <f>X19+U19</f>
        <v>98.04959999999997</v>
      </c>
      <c r="AA19" s="95">
        <f>IF($D19&lt;&gt;"Перехід",R19,0)</f>
        <v>0</v>
      </c>
      <c r="AB19" s="95" t="str">
        <f>IF(AA19=0,"",(AA13+AA14+AA15+AA17+AA18+AA19)/$I$7*100-100)</f>
        <v/>
      </c>
      <c r="AC19" s="95">
        <f t="shared" si="2"/>
        <v>1326.2879999999998</v>
      </c>
      <c r="AD19" s="95">
        <f t="shared" si="2"/>
        <v>265.25759999999997</v>
      </c>
      <c r="AE19" s="94" t="str">
        <f>""</f>
        <v/>
      </c>
      <c r="AF19" s="87"/>
      <c r="AG19" s="87"/>
      <c r="AH19" s="87"/>
    </row>
    <row r="20" spans="1:34" ht="27.95" customHeight="1" x14ac:dyDescent="0.2">
      <c r="A20" s="94">
        <v>2</v>
      </c>
      <c r="B20" s="93" t="s">
        <v>306</v>
      </c>
      <c r="C20" s="93" t="s">
        <v>305</v>
      </c>
      <c r="D20" s="93" t="s">
        <v>87</v>
      </c>
      <c r="E20" s="95">
        <f>'Модель 0-0'!E20</f>
        <v>25</v>
      </c>
      <c r="F20" s="95">
        <f>AC16*E20/100</f>
        <v>998.39999999999986</v>
      </c>
      <c r="G20" s="95">
        <f>IF($D20="Експорт",$C$8,$C$5)</f>
        <v>0</v>
      </c>
      <c r="H20" s="95">
        <f>IF($C20="Імпорт",$F20*$I$4/100,0)</f>
        <v>0</v>
      </c>
      <c r="I20" s="95">
        <f>IF($C20="Зовнішній ПДВ",$F20*$I$5/100,0)</f>
        <v>0</v>
      </c>
      <c r="J20" s="95">
        <f>AD16*E20/100</f>
        <v>199.67999999999995</v>
      </c>
      <c r="K20" s="95">
        <f>H20+I20+J20</f>
        <v>199.67999999999995</v>
      </c>
      <c r="L20" s="95">
        <f>M20/F20*100</f>
        <v>19.831730769230766</v>
      </c>
      <c r="M20" s="95">
        <f>'Модель 0-0'!M20</f>
        <v>197.99999999999997</v>
      </c>
      <c r="N20" s="95">
        <f>O20/(F20+M20)*100</f>
        <v>10.856569709127371</v>
      </c>
      <c r="O20" s="95">
        <f>'Модель 0-0'!Y20/(1-$C$6/100)</f>
        <v>129.88799999999983</v>
      </c>
      <c r="P20" s="95">
        <f>F20+M20+O20</f>
        <v>1326.2879999999998</v>
      </c>
      <c r="Q20" s="95">
        <f>P20*G20/100</f>
        <v>0</v>
      </c>
      <c r="R20" s="95">
        <f>P20+Q20</f>
        <v>1326.2879999999998</v>
      </c>
      <c r="S20" s="95">
        <f>O20</f>
        <v>129.88799999999983</v>
      </c>
      <c r="T20" s="95">
        <f>$C$6</f>
        <v>25</v>
      </c>
      <c r="U20" s="95">
        <f>S20*T20/100</f>
        <v>32.471999999999959</v>
      </c>
      <c r="V20" s="95">
        <f>S20-U20</f>
        <v>97.415999999999883</v>
      </c>
      <c r="W20" s="95">
        <f>Q20-K20</f>
        <v>-199.67999999999995</v>
      </c>
      <c r="X20" s="95">
        <f>H20+W20</f>
        <v>-199.67999999999995</v>
      </c>
      <c r="Y20" s="95">
        <f>V20</f>
        <v>97.415999999999883</v>
      </c>
      <c r="Z20" s="95">
        <f>X20+U20</f>
        <v>-167.208</v>
      </c>
      <c r="AA20" s="95">
        <f>IF($D20&lt;&gt;"Перехід",R20,0)</f>
        <v>1326.2879999999998</v>
      </c>
      <c r="AB20" s="95">
        <f>IF(AA20=0,"",(AA13+AA14+AA15+AA17+AA18+AA19+AA20)/$I$7*100-100)</f>
        <v>-2.7388800000000231</v>
      </c>
      <c r="AC20" s="95">
        <f t="shared" si="2"/>
        <v>0</v>
      </c>
      <c r="AD20" s="95">
        <f t="shared" si="2"/>
        <v>0</v>
      </c>
      <c r="AE20" s="94" t="str">
        <f>""</f>
        <v/>
      </c>
      <c r="AF20" s="87"/>
      <c r="AG20" s="87"/>
      <c r="AH20" s="87"/>
    </row>
    <row r="21" spans="1:34" ht="24" customHeight="1" x14ac:dyDescent="0.2">
      <c r="A21" s="96">
        <v>2</v>
      </c>
      <c r="B21" s="97" t="s">
        <v>307</v>
      </c>
      <c r="C21" s="97" t="s">
        <v>85</v>
      </c>
      <c r="D21" s="97" t="s">
        <v>85</v>
      </c>
      <c r="E21" s="98">
        <f>SUM(E17:E20)</f>
        <v>100</v>
      </c>
      <c r="F21" s="98">
        <f>SUM(F17:F20)</f>
        <v>3993.5999999999995</v>
      </c>
      <c r="G21" s="98"/>
      <c r="H21" s="98">
        <f>SUM(H17:H20)</f>
        <v>0</v>
      </c>
      <c r="I21" s="98">
        <f>SUM(I17:I20)</f>
        <v>0</v>
      </c>
      <c r="J21" s="98">
        <f>SUM(J17:J20)</f>
        <v>798.7199999999998</v>
      </c>
      <c r="K21" s="98">
        <f>SUM(K17:K20)</f>
        <v>798.7199999999998</v>
      </c>
      <c r="L21" s="98"/>
      <c r="M21" s="98">
        <f>SUM(M17:M20)</f>
        <v>791.99999999999989</v>
      </c>
      <c r="N21" s="98"/>
      <c r="O21" s="98">
        <f>SUM(O17:O20)</f>
        <v>519.55199999999934</v>
      </c>
      <c r="P21" s="98">
        <f>SUM(P17:P20)</f>
        <v>5305.1519999999991</v>
      </c>
      <c r="Q21" s="98">
        <f>SUM(Q17:Q20)</f>
        <v>795.77279999999996</v>
      </c>
      <c r="R21" s="98">
        <f>SUM(R17:R20)</f>
        <v>6100.9247999999989</v>
      </c>
      <c r="S21" s="98">
        <f>SUM(S17:S20)</f>
        <v>519.55199999999934</v>
      </c>
      <c r="T21" s="98"/>
      <c r="U21" s="98">
        <f t="shared" ref="U21:AA21" si="3">SUM(U17:U20)</f>
        <v>129.88799999999983</v>
      </c>
      <c r="V21" s="98">
        <f t="shared" si="3"/>
        <v>389.66399999999953</v>
      </c>
      <c r="W21" s="98">
        <f t="shared" si="3"/>
        <v>-2.9471999999998957</v>
      </c>
      <c r="X21" s="98">
        <f t="shared" si="3"/>
        <v>-2.9471999999998957</v>
      </c>
      <c r="Y21" s="98">
        <f t="shared" si="3"/>
        <v>389.66399999999953</v>
      </c>
      <c r="Z21" s="98">
        <f t="shared" si="3"/>
        <v>126.94079999999994</v>
      </c>
      <c r="AA21" s="98">
        <f t="shared" si="3"/>
        <v>2917.8335999999995</v>
      </c>
      <c r="AB21" s="98">
        <f>IF((AA13+AA14+AA15+AA17+AA18+AA19+AA20)=0,"",(AA13+AA14+AA15+AA17+AA18+AA19+AA20)/$I$7*100-100)</f>
        <v>-2.7388800000000231</v>
      </c>
      <c r="AC21" s="98">
        <f>SUM(AC17:AC20)</f>
        <v>2652.5759999999996</v>
      </c>
      <c r="AD21" s="98">
        <f>SUM(AD17:AD20)</f>
        <v>530.51519999999994</v>
      </c>
      <c r="AE21" s="96" t="str">
        <f>IF(ABS(SUM(E17:E20)-100)&lt;0.0001,"ОК","ПОМИЛКА: сума часток = "&amp;ROUND(SUM(E17:E20),2)&amp;"%")</f>
        <v>ОК</v>
      </c>
      <c r="AF21" s="87"/>
      <c r="AG21" s="87"/>
      <c r="AH21" s="87"/>
    </row>
    <row r="22" spans="1:34" ht="27.95" customHeight="1" x14ac:dyDescent="0.2">
      <c r="A22" s="94">
        <v>3</v>
      </c>
      <c r="B22" s="93" t="s">
        <v>163</v>
      </c>
      <c r="C22" s="93" t="s">
        <v>305</v>
      </c>
      <c r="D22" s="93" t="s">
        <v>90</v>
      </c>
      <c r="E22" s="95">
        <f>'Модель 0-0'!E22</f>
        <v>33.333333333299997</v>
      </c>
      <c r="F22" s="95">
        <f>AC21*E22/100</f>
        <v>884.19199999911564</v>
      </c>
      <c r="G22" s="95">
        <f>IF($D22="Експорт",$C$8,$C$5)</f>
        <v>20</v>
      </c>
      <c r="H22" s="95">
        <f>IF($C22="Імпорт",$F22*$I$4/100,0)</f>
        <v>0</v>
      </c>
      <c r="I22" s="95">
        <f>IF($C22="Зовнішній ПДВ",$F22*$I$5/100,0)</f>
        <v>0</v>
      </c>
      <c r="J22" s="95">
        <f>AD21*E22/100</f>
        <v>176.83839999982311</v>
      </c>
      <c r="K22" s="95">
        <f>H22+I22+J22</f>
        <v>176.83839999982311</v>
      </c>
      <c r="L22" s="95">
        <f>M22/F22*100</f>
        <v>19.70612717599797</v>
      </c>
      <c r="M22" s="95">
        <f>'Модель 0-0'!M22</f>
        <v>174.2399999998257</v>
      </c>
      <c r="N22" s="95">
        <f>O22/(F22+M22)*100</f>
        <v>10.79912927802636</v>
      </c>
      <c r="O22" s="95">
        <f>'Модель 0-0'!Y22/(1-$C$6/100)</f>
        <v>114.30143999988563</v>
      </c>
      <c r="P22" s="95">
        <f>F22+M22+O22</f>
        <v>1172.733439998827</v>
      </c>
      <c r="Q22" s="95">
        <f>P22*G22/100</f>
        <v>234.54668799976537</v>
      </c>
      <c r="R22" s="95">
        <f>P22+Q22</f>
        <v>1407.2801279985924</v>
      </c>
      <c r="S22" s="95">
        <f>O22</f>
        <v>114.30143999988563</v>
      </c>
      <c r="T22" s="95">
        <f>$C$6</f>
        <v>25</v>
      </c>
      <c r="U22" s="95">
        <f>S22*T22/100</f>
        <v>28.575359999971408</v>
      </c>
      <c r="V22" s="95">
        <f>S22-U22</f>
        <v>85.726079999914219</v>
      </c>
      <c r="W22" s="95">
        <f>Q22-K22</f>
        <v>57.708287999942257</v>
      </c>
      <c r="X22" s="95">
        <f>H22+W22</f>
        <v>57.708287999942257</v>
      </c>
      <c r="Y22" s="95">
        <f>V22</f>
        <v>85.726079999914219</v>
      </c>
      <c r="Z22" s="95">
        <f>X22+U22</f>
        <v>86.283647999913669</v>
      </c>
      <c r="AA22" s="95">
        <f>IF($D22&lt;&gt;"Перехід",R22,0)</f>
        <v>1407.2801279985924</v>
      </c>
      <c r="AB22" s="95">
        <f>IF(AA22=0,"",(AA13+AA14+AA15+AA17+AA18+AA19+AA20+AA22)/$I$7*100-100)</f>
        <v>44.170457599953096</v>
      </c>
      <c r="AC22" s="95">
        <f t="shared" ref="AC22:AD24" si="4">IF($D22="Перехід",P22,0)</f>
        <v>0</v>
      </c>
      <c r="AD22" s="95">
        <f t="shared" si="4"/>
        <v>0</v>
      </c>
      <c r="AE22" s="94" t="str">
        <f>""</f>
        <v/>
      </c>
      <c r="AF22" s="87"/>
      <c r="AG22" s="87"/>
      <c r="AH22" s="87"/>
    </row>
    <row r="23" spans="1:34" ht="27.95" customHeight="1" x14ac:dyDescent="0.2">
      <c r="A23" s="94">
        <v>3</v>
      </c>
      <c r="B23" s="93" t="s">
        <v>81</v>
      </c>
      <c r="C23" s="93" t="s">
        <v>305</v>
      </c>
      <c r="D23" s="93" t="s">
        <v>75</v>
      </c>
      <c r="E23" s="95">
        <f>'Модель 0-0'!E23</f>
        <v>33.333333333299997</v>
      </c>
      <c r="F23" s="95">
        <f>AC21*E23/100</f>
        <v>884.19199999911564</v>
      </c>
      <c r="G23" s="95">
        <f>IF($D23="Експорт",$C$8,$C$5)</f>
        <v>20</v>
      </c>
      <c r="H23" s="95">
        <f>IF($C23="Імпорт",$F23*$I$4/100,0)</f>
        <v>0</v>
      </c>
      <c r="I23" s="95">
        <f>IF($C23="Зовнішній ПДВ",$F23*$I$5/100,0)</f>
        <v>0</v>
      </c>
      <c r="J23" s="95">
        <f>AD21*E23/100</f>
        <v>176.83839999982311</v>
      </c>
      <c r="K23" s="95">
        <f>H23+I23+J23</f>
        <v>176.83839999982311</v>
      </c>
      <c r="L23" s="95">
        <f>M23/F23*100</f>
        <v>19.70612717599797</v>
      </c>
      <c r="M23" s="95">
        <f>'Модель 0-0'!M23</f>
        <v>174.2399999998257</v>
      </c>
      <c r="N23" s="95">
        <f>O23/(F23+M23)*100</f>
        <v>10.79912927802636</v>
      </c>
      <c r="O23" s="95">
        <f>'Модель 0-0'!Y23/(1-$C$6/100)</f>
        <v>114.30143999988563</v>
      </c>
      <c r="P23" s="95">
        <f>F23+M23+O23</f>
        <v>1172.733439998827</v>
      </c>
      <c r="Q23" s="95">
        <f>P23*G23/100</f>
        <v>234.54668799976537</v>
      </c>
      <c r="R23" s="95">
        <f>P23+Q23</f>
        <v>1407.2801279985924</v>
      </c>
      <c r="S23" s="95">
        <f>O23</f>
        <v>114.30143999988563</v>
      </c>
      <c r="T23" s="95">
        <f>$C$6</f>
        <v>25</v>
      </c>
      <c r="U23" s="95">
        <f>S23*T23/100</f>
        <v>28.575359999971408</v>
      </c>
      <c r="V23" s="95">
        <f>S23-U23</f>
        <v>85.726079999914219</v>
      </c>
      <c r="W23" s="95">
        <f>Q23-K23</f>
        <v>57.708287999942257</v>
      </c>
      <c r="X23" s="95">
        <f>H23+W23</f>
        <v>57.708287999942257</v>
      </c>
      <c r="Y23" s="95">
        <f>V23</f>
        <v>85.726079999914219</v>
      </c>
      <c r="Z23" s="95">
        <f>X23+U23</f>
        <v>86.283647999913669</v>
      </c>
      <c r="AA23" s="95">
        <f>IF($D23&lt;&gt;"Перехід",R23,0)</f>
        <v>0</v>
      </c>
      <c r="AB23" s="95" t="str">
        <f>IF(AA23=0,"",(AA13+AA14+AA15+AA17+AA18+AA19+AA20+AA22+AA23)/$I$7*100-100)</f>
        <v/>
      </c>
      <c r="AC23" s="95">
        <f t="shared" si="4"/>
        <v>1172.733439998827</v>
      </c>
      <c r="AD23" s="95">
        <f t="shared" si="4"/>
        <v>234.54668799976537</v>
      </c>
      <c r="AE23" s="94" t="str">
        <f>""</f>
        <v/>
      </c>
      <c r="AF23" s="87"/>
      <c r="AG23" s="87"/>
      <c r="AH23" s="87"/>
    </row>
    <row r="24" spans="1:34" ht="27.95" customHeight="1" x14ac:dyDescent="0.2">
      <c r="A24" s="94">
        <v>3</v>
      </c>
      <c r="B24" s="93" t="s">
        <v>160</v>
      </c>
      <c r="C24" s="93" t="s">
        <v>305</v>
      </c>
      <c r="D24" s="93" t="s">
        <v>75</v>
      </c>
      <c r="E24" s="95">
        <f>'Модель 0-0'!E24</f>
        <v>33.333333333399999</v>
      </c>
      <c r="F24" s="95">
        <f>AC21*E24/100</f>
        <v>884.19200000176818</v>
      </c>
      <c r="G24" s="95">
        <f>IF($D24="Експорт",$C$8,$C$5)</f>
        <v>20</v>
      </c>
      <c r="H24" s="95">
        <f>IF($C24="Імпорт",$F24*$I$4/100,0)</f>
        <v>0</v>
      </c>
      <c r="I24" s="95">
        <f>IF($C24="Зовнішній ПДВ",$F24*$I$5/100,0)</f>
        <v>0</v>
      </c>
      <c r="J24" s="95">
        <f>AD21*E24/100</f>
        <v>176.83840000035366</v>
      </c>
      <c r="K24" s="95">
        <f>H24+I24+J24</f>
        <v>176.83840000035366</v>
      </c>
      <c r="L24" s="95">
        <f>M24/F24*100</f>
        <v>19.706127175997974</v>
      </c>
      <c r="M24" s="95">
        <f>'Модель 0-0'!M24</f>
        <v>174.24000000034846</v>
      </c>
      <c r="N24" s="95">
        <f>O24/(F24+M24)*100</f>
        <v>10.799129278026349</v>
      </c>
      <c r="O24" s="95">
        <f>'Модель 0-0'!Y24/(1-$C$6/100)</f>
        <v>114.30144000022842</v>
      </c>
      <c r="P24" s="95">
        <f>F24+M24+O24</f>
        <v>1172.7334400023451</v>
      </c>
      <c r="Q24" s="95">
        <f>P24*G24/100</f>
        <v>234.546688000469</v>
      </c>
      <c r="R24" s="95">
        <f>P24+Q24</f>
        <v>1407.2801280028141</v>
      </c>
      <c r="S24" s="95">
        <f>O24</f>
        <v>114.30144000022842</v>
      </c>
      <c r="T24" s="95">
        <f>$C$6</f>
        <v>25</v>
      </c>
      <c r="U24" s="95">
        <f>S24*T24/100</f>
        <v>28.575360000057106</v>
      </c>
      <c r="V24" s="95">
        <f>S24-U24</f>
        <v>85.726080000171322</v>
      </c>
      <c r="W24" s="95">
        <f>Q24-K24</f>
        <v>57.708288000115346</v>
      </c>
      <c r="X24" s="95">
        <f>H24+W24</f>
        <v>57.708288000115346</v>
      </c>
      <c r="Y24" s="95">
        <f>V24</f>
        <v>85.726080000171322</v>
      </c>
      <c r="Z24" s="95">
        <f>X24+U24</f>
        <v>86.283648000172448</v>
      </c>
      <c r="AA24" s="95">
        <f>IF($D24&lt;&gt;"Перехід",R24,0)</f>
        <v>0</v>
      </c>
      <c r="AB24" s="95" t="str">
        <f>IF(AA24=0,"",(AA13+AA14+AA15+AA17+AA18+AA19+AA20+AA22+AA23+AA24)/$I$7*100-100)</f>
        <v/>
      </c>
      <c r="AC24" s="95">
        <f t="shared" si="4"/>
        <v>1172.7334400023451</v>
      </c>
      <c r="AD24" s="95">
        <f t="shared" si="4"/>
        <v>234.546688000469</v>
      </c>
      <c r="AE24" s="94" t="str">
        <f>""</f>
        <v/>
      </c>
      <c r="AF24" s="87"/>
      <c r="AG24" s="87"/>
      <c r="AH24" s="87"/>
    </row>
    <row r="25" spans="1:34" ht="24" customHeight="1" x14ac:dyDescent="0.2">
      <c r="A25" s="96">
        <v>3</v>
      </c>
      <c r="B25" s="97" t="s">
        <v>308</v>
      </c>
      <c r="C25" s="97" t="s">
        <v>85</v>
      </c>
      <c r="D25" s="97" t="s">
        <v>85</v>
      </c>
      <c r="E25" s="98">
        <f>SUM(E22:E24)</f>
        <v>100</v>
      </c>
      <c r="F25" s="98">
        <f>SUM(F22:F24)</f>
        <v>2652.5759999999996</v>
      </c>
      <c r="G25" s="98"/>
      <c r="H25" s="98">
        <f>SUM(H22:H24)</f>
        <v>0</v>
      </c>
      <c r="I25" s="98">
        <f>SUM(I22:I24)</f>
        <v>0</v>
      </c>
      <c r="J25" s="98">
        <f>SUM(J22:J24)</f>
        <v>530.51519999999982</v>
      </c>
      <c r="K25" s="98">
        <f>SUM(K22:K24)</f>
        <v>530.51519999999982</v>
      </c>
      <c r="L25" s="98"/>
      <c r="M25" s="98">
        <f>SUM(M22:M24)</f>
        <v>522.7199999999998</v>
      </c>
      <c r="N25" s="98"/>
      <c r="O25" s="98">
        <f>SUM(O22:O24)</f>
        <v>342.9043199999997</v>
      </c>
      <c r="P25" s="98">
        <f>SUM(P22:P24)</f>
        <v>3518.200319999999</v>
      </c>
      <c r="Q25" s="98">
        <f>SUM(Q22:Q24)</f>
        <v>703.64006399999971</v>
      </c>
      <c r="R25" s="98">
        <f>SUM(R22:R24)</f>
        <v>4221.8403839999992</v>
      </c>
      <c r="S25" s="98">
        <f>SUM(S22:S24)</f>
        <v>342.9043199999997</v>
      </c>
      <c r="T25" s="98"/>
      <c r="U25" s="98">
        <f t="shared" ref="U25:AA25" si="5">SUM(U22:U24)</f>
        <v>85.726079999999925</v>
      </c>
      <c r="V25" s="98">
        <f t="shared" si="5"/>
        <v>257.17823999999973</v>
      </c>
      <c r="W25" s="98">
        <f t="shared" si="5"/>
        <v>173.12486399999986</v>
      </c>
      <c r="X25" s="98">
        <f t="shared" si="5"/>
        <v>173.12486399999986</v>
      </c>
      <c r="Y25" s="98">
        <f t="shared" si="5"/>
        <v>257.17823999999973</v>
      </c>
      <c r="Z25" s="98">
        <f t="shared" si="5"/>
        <v>258.8509439999998</v>
      </c>
      <c r="AA25" s="98">
        <f t="shared" si="5"/>
        <v>1407.2801279985924</v>
      </c>
      <c r="AB25" s="98">
        <f>IF((AA13+AA14+AA15+AA17+AA18+AA19+AA20+AA22+AA23+AA24)=0,"",(AA13+AA14+AA15+AA17+AA18+AA19+AA20+AA22+AA23+AA24)/$I$7*100-100)</f>
        <v>44.170457599953096</v>
      </c>
      <c r="AC25" s="98">
        <f>SUM(AC22:AC24)</f>
        <v>2345.4668800011723</v>
      </c>
      <c r="AD25" s="98">
        <f>SUM(AD22:AD24)</f>
        <v>469.09337600023434</v>
      </c>
      <c r="AE25" s="96" t="str">
        <f>IF(ABS(SUM(E22:E24)-100)&lt;0.0001,"ОК","ПОМИЛКА: сума часток = "&amp;ROUND(SUM(E22:E24),2)&amp;"%")</f>
        <v>ОК</v>
      </c>
      <c r="AF25" s="87"/>
      <c r="AG25" s="87"/>
      <c r="AH25" s="87"/>
    </row>
    <row r="26" spans="1:34" ht="27.95" customHeight="1" x14ac:dyDescent="0.2">
      <c r="A26" s="94">
        <v>4</v>
      </c>
      <c r="B26" s="93" t="s">
        <v>163</v>
      </c>
      <c r="C26" s="93" t="s">
        <v>305</v>
      </c>
      <c r="D26" s="93" t="s">
        <v>90</v>
      </c>
      <c r="E26" s="95">
        <f>'Модель 0-0'!E26</f>
        <v>50</v>
      </c>
      <c r="F26" s="95">
        <f>AC25*E26/100</f>
        <v>1172.7334400005861</v>
      </c>
      <c r="G26" s="95">
        <f>IF($D26="Експорт",$C$8,$C$5)</f>
        <v>20</v>
      </c>
      <c r="H26" s="95">
        <f>IF($C26="Імпорт",$F26*$I$4/100,0)</f>
        <v>0</v>
      </c>
      <c r="I26" s="95">
        <f>IF($C26="Зовнішній ПДВ",$F26*$I$5/100,0)</f>
        <v>0</v>
      </c>
      <c r="J26" s="95">
        <f>AD25*E26/100</f>
        <v>234.54668800011717</v>
      </c>
      <c r="K26" s="95">
        <f>H26+I26+J26</f>
        <v>234.54668800011717</v>
      </c>
      <c r="L26" s="95">
        <f>M26/F26*100</f>
        <v>19.612027094579997</v>
      </c>
      <c r="M26" s="95">
        <f>'Модель 0-0'!M26</f>
        <v>229.99680000011497</v>
      </c>
      <c r="N26" s="95">
        <f>O26/(F26+M26)*100</f>
        <v>10.756016837563863</v>
      </c>
      <c r="O26" s="95">
        <f>'Модель 0-0'!Y26/(1-$C$6/100)</f>
        <v>150.87790080007539</v>
      </c>
      <c r="P26" s="95">
        <f>F26+M26+O26</f>
        <v>1553.6081408007765</v>
      </c>
      <c r="Q26" s="95">
        <f>P26*G26/100</f>
        <v>310.72162816015532</v>
      </c>
      <c r="R26" s="95">
        <f>P26+Q26</f>
        <v>1864.3297689609317</v>
      </c>
      <c r="S26" s="95">
        <f>O26</f>
        <v>150.87790080007539</v>
      </c>
      <c r="T26" s="95">
        <f>$C$6</f>
        <v>25</v>
      </c>
      <c r="U26" s="95">
        <f>S26*T26/100</f>
        <v>37.719475200018849</v>
      </c>
      <c r="V26" s="95">
        <f>S26-U26</f>
        <v>113.15842560005655</v>
      </c>
      <c r="W26" s="95">
        <f>Q26-K26</f>
        <v>76.174940160038147</v>
      </c>
      <c r="X26" s="95">
        <f>H26+W26</f>
        <v>76.174940160038147</v>
      </c>
      <c r="Y26" s="95">
        <f>V26</f>
        <v>113.15842560005655</v>
      </c>
      <c r="Z26" s="95">
        <f>X26+U26</f>
        <v>113.894415360057</v>
      </c>
      <c r="AA26" s="95">
        <f>IF($D26&lt;&gt;"Перехід",R26,0)</f>
        <v>1864.3297689609317</v>
      </c>
      <c r="AB26" s="95">
        <f>IF(AA26=0,"",(AA13+AA14+AA15+AA17+AA18+AA19+AA20+AA22+AA23+AA24+AA26)/$I$7*100-100)</f>
        <v>106.31478323198414</v>
      </c>
      <c r="AC26" s="95">
        <f>IF($D26="Перехід",P26,0)</f>
        <v>0</v>
      </c>
      <c r="AD26" s="95">
        <f>IF($D26="Перехід",Q26,0)</f>
        <v>0</v>
      </c>
      <c r="AE26" s="94" t="str">
        <f>""</f>
        <v/>
      </c>
      <c r="AF26" s="87"/>
      <c r="AG26" s="87"/>
      <c r="AH26" s="87"/>
    </row>
    <row r="27" spans="1:34" ht="27.95" customHeight="1" x14ac:dyDescent="0.2">
      <c r="A27" s="94">
        <v>4</v>
      </c>
      <c r="B27" s="93" t="s">
        <v>160</v>
      </c>
      <c r="C27" s="93" t="s">
        <v>305</v>
      </c>
      <c r="D27" s="93" t="s">
        <v>75</v>
      </c>
      <c r="E27" s="95">
        <f>'Модель 0-0'!E27</f>
        <v>50</v>
      </c>
      <c r="F27" s="95">
        <f>AC25*E27/100</f>
        <v>1172.7334400005861</v>
      </c>
      <c r="G27" s="95">
        <f>IF($D27="Експорт",$C$8,$C$5)</f>
        <v>20</v>
      </c>
      <c r="H27" s="95">
        <f>IF($C27="Імпорт",$F27*$I$4/100,0)</f>
        <v>0</v>
      </c>
      <c r="I27" s="95">
        <f>IF($C27="Зовнішній ПДВ",$F27*$I$5/100,0)</f>
        <v>0</v>
      </c>
      <c r="J27" s="95">
        <f>AD25*E27/100</f>
        <v>234.54668800011717</v>
      </c>
      <c r="K27" s="95">
        <f>H27+I27+J27</f>
        <v>234.54668800011717</v>
      </c>
      <c r="L27" s="95">
        <f>M27/F27*100</f>
        <v>19.612027094579997</v>
      </c>
      <c r="M27" s="95">
        <f>'Модель 0-0'!M27</f>
        <v>229.99680000011497</v>
      </c>
      <c r="N27" s="95">
        <f>O27/(F27+M27)*100</f>
        <v>10.756016837563863</v>
      </c>
      <c r="O27" s="95">
        <f>'Модель 0-0'!Y27/(1-$C$6/100)</f>
        <v>150.87790080007539</v>
      </c>
      <c r="P27" s="95">
        <f>F27+M27+O27</f>
        <v>1553.6081408007765</v>
      </c>
      <c r="Q27" s="95">
        <f>P27*G27/100</f>
        <v>310.72162816015532</v>
      </c>
      <c r="R27" s="95">
        <f>P27+Q27</f>
        <v>1864.3297689609317</v>
      </c>
      <c r="S27" s="95">
        <f>O27</f>
        <v>150.87790080007539</v>
      </c>
      <c r="T27" s="95">
        <f>$C$6</f>
        <v>25</v>
      </c>
      <c r="U27" s="95">
        <f>S27*T27/100</f>
        <v>37.719475200018849</v>
      </c>
      <c r="V27" s="95">
        <f>S27-U27</f>
        <v>113.15842560005655</v>
      </c>
      <c r="W27" s="95">
        <f>Q27-K27</f>
        <v>76.174940160038147</v>
      </c>
      <c r="X27" s="95">
        <f>H27+W27</f>
        <v>76.174940160038147</v>
      </c>
      <c r="Y27" s="95">
        <f>V27</f>
        <v>113.15842560005655</v>
      </c>
      <c r="Z27" s="95">
        <f>X27+U27</f>
        <v>113.894415360057</v>
      </c>
      <c r="AA27" s="95">
        <f>IF($D27&lt;&gt;"Перехід",R27,0)</f>
        <v>0</v>
      </c>
      <c r="AB27" s="95" t="str">
        <f>IF(AA27=0,"",(AA13+AA14+AA15+AA17+AA18+AA19+AA20+AA22+AA23+AA24+AA26+AA27)/$I$7*100-100)</f>
        <v/>
      </c>
      <c r="AC27" s="95">
        <f>IF($D27="Перехід",P27,0)</f>
        <v>1553.6081408007765</v>
      </c>
      <c r="AD27" s="95">
        <f>IF($D27="Перехід",Q27,0)</f>
        <v>310.72162816015532</v>
      </c>
      <c r="AE27" s="94" t="str">
        <f>""</f>
        <v/>
      </c>
      <c r="AF27" s="87"/>
      <c r="AG27" s="87"/>
      <c r="AH27" s="87"/>
    </row>
    <row r="28" spans="1:34" ht="24" customHeight="1" x14ac:dyDescent="0.2">
      <c r="A28" s="96">
        <v>4</v>
      </c>
      <c r="B28" s="97" t="s">
        <v>309</v>
      </c>
      <c r="C28" s="97" t="s">
        <v>85</v>
      </c>
      <c r="D28" s="97" t="s">
        <v>85</v>
      </c>
      <c r="E28" s="98">
        <f>SUM(E26:E27)</f>
        <v>100</v>
      </c>
      <c r="F28" s="98">
        <f>SUM(F26:F27)</f>
        <v>2345.4668800011723</v>
      </c>
      <c r="G28" s="98"/>
      <c r="H28" s="98">
        <f>SUM(H26:H27)</f>
        <v>0</v>
      </c>
      <c r="I28" s="98">
        <f>SUM(I26:I27)</f>
        <v>0</v>
      </c>
      <c r="J28" s="98">
        <f>SUM(J26:J27)</f>
        <v>469.09337600023434</v>
      </c>
      <c r="K28" s="98">
        <f>SUM(K26:K27)</f>
        <v>469.09337600023434</v>
      </c>
      <c r="L28" s="98"/>
      <c r="M28" s="98">
        <f>SUM(M26:M27)</f>
        <v>459.99360000022995</v>
      </c>
      <c r="N28" s="98"/>
      <c r="O28" s="98">
        <f>SUM(O26:O27)</f>
        <v>301.75580160015079</v>
      </c>
      <c r="P28" s="98">
        <f>SUM(P26:P27)</f>
        <v>3107.216281601553</v>
      </c>
      <c r="Q28" s="98">
        <f>SUM(Q26:Q27)</f>
        <v>621.44325632031064</v>
      </c>
      <c r="R28" s="98">
        <f>SUM(R26:R27)</f>
        <v>3728.6595379218634</v>
      </c>
      <c r="S28" s="98">
        <f>SUM(S26:S27)</f>
        <v>301.75580160015079</v>
      </c>
      <c r="T28" s="98"/>
      <c r="U28" s="98">
        <f t="shared" ref="U28:AA28" si="6">SUM(U26:U27)</f>
        <v>75.438950400037697</v>
      </c>
      <c r="V28" s="98">
        <f t="shared" si="6"/>
        <v>226.31685120011309</v>
      </c>
      <c r="W28" s="98">
        <f t="shared" si="6"/>
        <v>152.34988032007629</v>
      </c>
      <c r="X28" s="98">
        <f t="shared" si="6"/>
        <v>152.34988032007629</v>
      </c>
      <c r="Y28" s="98">
        <f t="shared" si="6"/>
        <v>226.31685120011309</v>
      </c>
      <c r="Z28" s="98">
        <f t="shared" si="6"/>
        <v>227.78883072011399</v>
      </c>
      <c r="AA28" s="98">
        <f t="shared" si="6"/>
        <v>1864.3297689609317</v>
      </c>
      <c r="AB28" s="98">
        <f>IF((AA13+AA14+AA15+AA17+AA18+AA19+AA20+AA22+AA23+AA24+AA26+AA27)=0,"",(AA13+AA14+AA15+AA17+AA18+AA19+AA20+AA22+AA23+AA24+AA26+AA27)/$I$7*100-100)</f>
        <v>106.31478323198414</v>
      </c>
      <c r="AC28" s="98">
        <f>SUM(AC26:AC27)</f>
        <v>1553.6081408007765</v>
      </c>
      <c r="AD28" s="98">
        <f>SUM(AD26:AD27)</f>
        <v>310.72162816015532</v>
      </c>
      <c r="AE28" s="96" t="str">
        <f>IF(ABS(SUM(E26:E27)-100)&lt;0.0001,"ОК","ПОМИЛКА: сума часток = "&amp;ROUND(SUM(E26:E27),2)&amp;"%")</f>
        <v>ОК</v>
      </c>
      <c r="AF28" s="87"/>
      <c r="AG28" s="87"/>
      <c r="AH28" s="87"/>
    </row>
    <row r="29" spans="1:34" ht="27.95" customHeight="1" x14ac:dyDescent="0.2">
      <c r="A29" s="94">
        <v>5</v>
      </c>
      <c r="B29" s="93" t="s">
        <v>163</v>
      </c>
      <c r="C29" s="93" t="s">
        <v>305</v>
      </c>
      <c r="D29" s="93" t="s">
        <v>90</v>
      </c>
      <c r="E29" s="95">
        <f>'Модель 0-0'!E29</f>
        <v>50</v>
      </c>
      <c r="F29" s="95">
        <f>AC28*E29/100</f>
        <v>776.80407040038835</v>
      </c>
      <c r="G29" s="95">
        <f>IF($D29="Експорт",$C$8,$C$5)</f>
        <v>20</v>
      </c>
      <c r="H29" s="95">
        <f>IF($C29="Імпорт",$F29*$I$4/100,0)</f>
        <v>0</v>
      </c>
      <c r="I29" s="95">
        <f>IF($C29="Зовнішній ПДВ",$F29*$I$5/100,0)</f>
        <v>0</v>
      </c>
      <c r="J29" s="95">
        <f>AD28*E29/100</f>
        <v>155.36081408007766</v>
      </c>
      <c r="K29" s="95">
        <f>H29+I29+J29</f>
        <v>155.36081408007766</v>
      </c>
      <c r="L29" s="95">
        <f>M29/F29*100</f>
        <v>19.541335297307931</v>
      </c>
      <c r="M29" s="95">
        <f>'Модель 0-0'!M29</f>
        <v>151.79788800007583</v>
      </c>
      <c r="N29" s="95">
        <f>O29/(F29+M29)*100</f>
        <v>10.723584376192498</v>
      </c>
      <c r="O29" s="95">
        <f>'Модель 0-0'!Y29/(1-$C$6/100)</f>
        <v>99.579414528049725</v>
      </c>
      <c r="P29" s="95">
        <f>F29+M29+O29</f>
        <v>1028.1813729285138</v>
      </c>
      <c r="Q29" s="95">
        <f>P29*G29/100</f>
        <v>205.63627458570278</v>
      </c>
      <c r="R29" s="95">
        <f>P29+Q29</f>
        <v>1233.8176475142166</v>
      </c>
      <c r="S29" s="95">
        <f>O29</f>
        <v>99.579414528049725</v>
      </c>
      <c r="T29" s="95">
        <f>$C$6</f>
        <v>25</v>
      </c>
      <c r="U29" s="95">
        <f>S29*T29/100</f>
        <v>24.894853632012431</v>
      </c>
      <c r="V29" s="95">
        <f>S29-U29</f>
        <v>74.684560896037297</v>
      </c>
      <c r="W29" s="95">
        <f>Q29-K29</f>
        <v>50.275460505625119</v>
      </c>
      <c r="X29" s="95">
        <f>H29+W29</f>
        <v>50.275460505625119</v>
      </c>
      <c r="Y29" s="95">
        <f>V29</f>
        <v>74.684560896037297</v>
      </c>
      <c r="Z29" s="95">
        <f>X29+U29</f>
        <v>75.170314137637547</v>
      </c>
      <c r="AA29" s="95">
        <f>IF($D29&lt;&gt;"Перехід",R29,0)</f>
        <v>1233.8176475142166</v>
      </c>
      <c r="AB29" s="95">
        <f>IF(AA29=0,"",(AA13+AA14+AA15+AA17+AA18+AA19+AA20+AA22+AA23+AA24+AA26+AA27+AA29)/$I$7*100-100)</f>
        <v>147.4420381491247</v>
      </c>
      <c r="AC29" s="95">
        <f>IF($D29="Перехід",P29,0)</f>
        <v>0</v>
      </c>
      <c r="AD29" s="95">
        <f>IF($D29="Перехід",Q29,0)</f>
        <v>0</v>
      </c>
      <c r="AE29" s="94" t="str">
        <f>""</f>
        <v/>
      </c>
      <c r="AF29" s="87"/>
      <c r="AG29" s="87"/>
      <c r="AH29" s="87"/>
    </row>
    <row r="30" spans="1:34" ht="27.95" customHeight="1" x14ac:dyDescent="0.2">
      <c r="A30" s="94">
        <v>5</v>
      </c>
      <c r="B30" s="93" t="s">
        <v>160</v>
      </c>
      <c r="C30" s="93" t="s">
        <v>305</v>
      </c>
      <c r="D30" s="93" t="s">
        <v>75</v>
      </c>
      <c r="E30" s="95">
        <f>'Модель 0-0'!E30</f>
        <v>50</v>
      </c>
      <c r="F30" s="95">
        <f>AC28*E30/100</f>
        <v>776.80407040038835</v>
      </c>
      <c r="G30" s="95">
        <f>IF($D30="Експорт",$C$8,$C$5)</f>
        <v>20</v>
      </c>
      <c r="H30" s="95">
        <f>IF($C30="Імпорт",$F30*$I$4/100,0)</f>
        <v>0</v>
      </c>
      <c r="I30" s="95">
        <f>IF($C30="Зовнішній ПДВ",$F30*$I$5/100,0)</f>
        <v>0</v>
      </c>
      <c r="J30" s="95">
        <f>AD28*E30/100</f>
        <v>155.36081408007766</v>
      </c>
      <c r="K30" s="95">
        <f>H30+I30+J30</f>
        <v>155.36081408007766</v>
      </c>
      <c r="L30" s="95">
        <f>M30/F30*100</f>
        <v>19.541335297307931</v>
      </c>
      <c r="M30" s="95">
        <f>'Модель 0-0'!M30</f>
        <v>151.79788800007583</v>
      </c>
      <c r="N30" s="95">
        <f>O30/(F30+M30)*100</f>
        <v>10.723584376192498</v>
      </c>
      <c r="O30" s="95">
        <f>'Модель 0-0'!Y30/(1-$C$6/100)</f>
        <v>99.579414528049725</v>
      </c>
      <c r="P30" s="95">
        <f>F30+M30+O30</f>
        <v>1028.1813729285138</v>
      </c>
      <c r="Q30" s="95">
        <f>P30*G30/100</f>
        <v>205.63627458570278</v>
      </c>
      <c r="R30" s="95">
        <f>P30+Q30</f>
        <v>1233.8176475142166</v>
      </c>
      <c r="S30" s="95">
        <f>O30</f>
        <v>99.579414528049725</v>
      </c>
      <c r="T30" s="95">
        <f>$C$6</f>
        <v>25</v>
      </c>
      <c r="U30" s="95">
        <f>S30*T30/100</f>
        <v>24.894853632012431</v>
      </c>
      <c r="V30" s="95">
        <f>S30-U30</f>
        <v>74.684560896037297</v>
      </c>
      <c r="W30" s="95">
        <f>Q30-K30</f>
        <v>50.275460505625119</v>
      </c>
      <c r="X30" s="95">
        <f>H30+W30</f>
        <v>50.275460505625119</v>
      </c>
      <c r="Y30" s="95">
        <f>V30</f>
        <v>74.684560896037297</v>
      </c>
      <c r="Z30" s="95">
        <f>X30+U30</f>
        <v>75.170314137637547</v>
      </c>
      <c r="AA30" s="95">
        <f>IF($D30&lt;&gt;"Перехід",R30,0)</f>
        <v>0</v>
      </c>
      <c r="AB30" s="95" t="str">
        <f>IF(AA30=0,"",(AA13+AA14+AA15+AA17+AA18+AA19+AA20+AA22+AA23+AA24+AA26+AA27+AA29+AA30)/$I$7*100-100)</f>
        <v/>
      </c>
      <c r="AC30" s="95">
        <f>IF($D30="Перехід",P30,0)</f>
        <v>1028.1813729285138</v>
      </c>
      <c r="AD30" s="95">
        <f>IF($D30="Перехід",Q30,0)</f>
        <v>205.63627458570278</v>
      </c>
      <c r="AE30" s="94" t="str">
        <f>""</f>
        <v/>
      </c>
      <c r="AF30" s="87"/>
      <c r="AG30" s="87"/>
      <c r="AH30" s="87"/>
    </row>
    <row r="31" spans="1:34" ht="24" customHeight="1" x14ac:dyDescent="0.2">
      <c r="A31" s="96">
        <v>5</v>
      </c>
      <c r="B31" s="97" t="s">
        <v>310</v>
      </c>
      <c r="C31" s="97" t="s">
        <v>85</v>
      </c>
      <c r="D31" s="97" t="s">
        <v>85</v>
      </c>
      <c r="E31" s="98">
        <f>SUM(E29:E30)</f>
        <v>100</v>
      </c>
      <c r="F31" s="98">
        <f>SUM(F29:F30)</f>
        <v>1553.6081408007767</v>
      </c>
      <c r="G31" s="98"/>
      <c r="H31" s="98">
        <f>SUM(H29:H30)</f>
        <v>0</v>
      </c>
      <c r="I31" s="98">
        <f>SUM(I29:I30)</f>
        <v>0</v>
      </c>
      <c r="J31" s="98">
        <f>SUM(J29:J30)</f>
        <v>310.72162816015532</v>
      </c>
      <c r="K31" s="98">
        <f>SUM(K29:K30)</f>
        <v>310.72162816015532</v>
      </c>
      <c r="L31" s="98"/>
      <c r="M31" s="98">
        <f>SUM(M29:M30)</f>
        <v>303.59577600015166</v>
      </c>
      <c r="N31" s="98"/>
      <c r="O31" s="98">
        <f>SUM(O29:O30)</f>
        <v>199.15882905609945</v>
      </c>
      <c r="P31" s="98">
        <f>SUM(P29:P30)</f>
        <v>2056.3627458570277</v>
      </c>
      <c r="Q31" s="98">
        <f>SUM(Q29:Q30)</f>
        <v>411.27254917140556</v>
      </c>
      <c r="R31" s="98">
        <f>SUM(R29:R30)</f>
        <v>2467.6352950284331</v>
      </c>
      <c r="S31" s="98">
        <f>SUM(S29:S30)</f>
        <v>199.15882905609945</v>
      </c>
      <c r="T31" s="98"/>
      <c r="U31" s="98">
        <f t="shared" ref="U31:AA31" si="7">SUM(U29:U30)</f>
        <v>49.789707264024862</v>
      </c>
      <c r="V31" s="98">
        <f t="shared" si="7"/>
        <v>149.36912179207459</v>
      </c>
      <c r="W31" s="98">
        <f t="shared" si="7"/>
        <v>100.55092101125024</v>
      </c>
      <c r="X31" s="98">
        <f t="shared" si="7"/>
        <v>100.55092101125024</v>
      </c>
      <c r="Y31" s="98">
        <f t="shared" si="7"/>
        <v>149.36912179207459</v>
      </c>
      <c r="Z31" s="98">
        <f t="shared" si="7"/>
        <v>150.34062827527509</v>
      </c>
      <c r="AA31" s="98">
        <f t="shared" si="7"/>
        <v>1233.8176475142166</v>
      </c>
      <c r="AB31" s="98">
        <f>IF((AA13+AA14+AA15+AA17+AA18+AA19+AA20+AA22+AA23+AA24+AA26+AA27+AA29+AA30)=0,"",(AA13+AA14+AA15+AA17+AA18+AA19+AA20+AA22+AA23+AA24+AA26+AA27+AA29+AA30)/$I$7*100-100)</f>
        <v>147.4420381491247</v>
      </c>
      <c r="AC31" s="98">
        <f>SUM(AC29:AC30)</f>
        <v>1028.1813729285138</v>
      </c>
      <c r="AD31" s="98">
        <f>SUM(AD29:AD30)</f>
        <v>205.63627458570278</v>
      </c>
      <c r="AE31" s="96" t="str">
        <f>IF(ABS(SUM(E29:E30)-100)&lt;0.0001,"ОК","ПОМИЛКА: сума часток = "&amp;ROUND(SUM(E29:E30),2)&amp;"%")</f>
        <v>ОК</v>
      </c>
      <c r="AF31" s="87"/>
      <c r="AG31" s="87"/>
      <c r="AH31" s="87"/>
    </row>
    <row r="32" spans="1:34" ht="27.95" customHeight="1" x14ac:dyDescent="0.2">
      <c r="A32" s="94">
        <v>6</v>
      </c>
      <c r="B32" s="93" t="s">
        <v>163</v>
      </c>
      <c r="C32" s="93" t="s">
        <v>305</v>
      </c>
      <c r="D32" s="93" t="s">
        <v>90</v>
      </c>
      <c r="E32" s="95">
        <f>'Модель 0-0'!E32</f>
        <v>100</v>
      </c>
      <c r="F32" s="95">
        <f>AC31*E32/100</f>
        <v>1028.1813729285138</v>
      </c>
      <c r="G32" s="95">
        <f>IF($D32="Експорт",$C$8,$C$5)</f>
        <v>20</v>
      </c>
      <c r="H32" s="95">
        <f>IF($C32="Імпорт",$F32*$I$4/100,0)</f>
        <v>0</v>
      </c>
      <c r="I32" s="95">
        <f>IF($C32="Зовнішній ПДВ",$F32*$I$5/100,0)</f>
        <v>0</v>
      </c>
      <c r="J32" s="95">
        <f>AD31*E32/100</f>
        <v>205.63627458570278</v>
      </c>
      <c r="K32" s="95">
        <f>H32+I32+J32</f>
        <v>205.63627458570278</v>
      </c>
      <c r="L32" s="95">
        <f>M32/F32*100</f>
        <v>19.488119259483163</v>
      </c>
      <c r="M32" s="95">
        <f>'Модель 0-0'!M32</f>
        <v>200.37321216010011</v>
      </c>
      <c r="N32" s="95">
        <f>O32/(F32+M32)*100</f>
        <v>10.699144244172482</v>
      </c>
      <c r="O32" s="95">
        <f>'Модель 0-0'!Y32/(1-$C$6/100)</f>
        <v>131.44482717702556</v>
      </c>
      <c r="P32" s="95">
        <f>F32+M32+O32</f>
        <v>1359.9994122656394</v>
      </c>
      <c r="Q32" s="95">
        <f>P32*G32/100</f>
        <v>271.99988245312784</v>
      </c>
      <c r="R32" s="95">
        <f>P32+Q32</f>
        <v>1631.9992947187673</v>
      </c>
      <c r="S32" s="95">
        <f>O32</f>
        <v>131.44482717702556</v>
      </c>
      <c r="T32" s="95">
        <f>$C$6</f>
        <v>25</v>
      </c>
      <c r="U32" s="95">
        <f>S32*T32/100</f>
        <v>32.86120679425639</v>
      </c>
      <c r="V32" s="95">
        <f>S32-U32</f>
        <v>98.583620382769169</v>
      </c>
      <c r="W32" s="95">
        <f>Q32-K32</f>
        <v>66.36360786742506</v>
      </c>
      <c r="X32" s="95">
        <f>H32+W32</f>
        <v>66.36360786742506</v>
      </c>
      <c r="Y32" s="95">
        <f>V32</f>
        <v>98.583620382769169</v>
      </c>
      <c r="Z32" s="95">
        <f>X32+U32</f>
        <v>99.224814661681449</v>
      </c>
      <c r="AA32" s="95">
        <f>IF($D32&lt;&gt;"Перехід",R32,0)</f>
        <v>1631.9992947187673</v>
      </c>
      <c r="AB32" s="95">
        <f>IF(AA32=0,"",(AA13+AA14+AA15+AA17+AA18+AA19+AA20+AA22+AA23+AA24+AA26+AA27+AA29+AA30+AA32)/$I$7*100-100)</f>
        <v>201.84201463975023</v>
      </c>
      <c r="AC32" s="95">
        <f>IF($D32="Перехід",P32,0)</f>
        <v>0</v>
      </c>
      <c r="AD32" s="95">
        <f>IF($D32="Перехід",Q32,0)</f>
        <v>0</v>
      </c>
      <c r="AE32" s="94" t="str">
        <f>""</f>
        <v/>
      </c>
      <c r="AF32" s="87"/>
      <c r="AG32" s="87"/>
      <c r="AH32" s="87"/>
    </row>
    <row r="33" spans="1:34" ht="24" customHeight="1" x14ac:dyDescent="0.2">
      <c r="A33" s="96">
        <v>6</v>
      </c>
      <c r="B33" s="97" t="s">
        <v>311</v>
      </c>
      <c r="C33" s="97" t="s">
        <v>85</v>
      </c>
      <c r="D33" s="97" t="s">
        <v>85</v>
      </c>
      <c r="E33" s="98">
        <f>SUM(E32:E32)</f>
        <v>100</v>
      </c>
      <c r="F33" s="98">
        <f>SUM(F32:F32)</f>
        <v>1028.1813729285138</v>
      </c>
      <c r="G33" s="98"/>
      <c r="H33" s="98">
        <f>SUM(H32:H32)</f>
        <v>0</v>
      </c>
      <c r="I33" s="98">
        <f>SUM(I32:I32)</f>
        <v>0</v>
      </c>
      <c r="J33" s="98">
        <f>SUM(J32:J32)</f>
        <v>205.63627458570278</v>
      </c>
      <c r="K33" s="98">
        <f>SUM(K32:K32)</f>
        <v>205.63627458570278</v>
      </c>
      <c r="L33" s="98"/>
      <c r="M33" s="98">
        <f>SUM(M32:M32)</f>
        <v>200.37321216010011</v>
      </c>
      <c r="N33" s="98"/>
      <c r="O33" s="98">
        <f>SUM(O32:O32)</f>
        <v>131.44482717702556</v>
      </c>
      <c r="P33" s="98">
        <f>SUM(P32:P32)</f>
        <v>1359.9994122656394</v>
      </c>
      <c r="Q33" s="98">
        <f>SUM(Q32:Q32)</f>
        <v>271.99988245312784</v>
      </c>
      <c r="R33" s="98">
        <f>SUM(R32:R32)</f>
        <v>1631.9992947187673</v>
      </c>
      <c r="S33" s="98">
        <f>SUM(S32:S32)</f>
        <v>131.44482717702556</v>
      </c>
      <c r="T33" s="98"/>
      <c r="U33" s="98">
        <f t="shared" ref="U33:AA33" si="8">SUM(U32:U32)</f>
        <v>32.86120679425639</v>
      </c>
      <c r="V33" s="98">
        <f t="shared" si="8"/>
        <v>98.583620382769169</v>
      </c>
      <c r="W33" s="98">
        <f t="shared" si="8"/>
        <v>66.36360786742506</v>
      </c>
      <c r="X33" s="98">
        <f t="shared" si="8"/>
        <v>66.36360786742506</v>
      </c>
      <c r="Y33" s="98">
        <f t="shared" si="8"/>
        <v>98.583620382769169</v>
      </c>
      <c r="Z33" s="98">
        <f t="shared" si="8"/>
        <v>99.224814661681449</v>
      </c>
      <c r="AA33" s="98">
        <f t="shared" si="8"/>
        <v>1631.9992947187673</v>
      </c>
      <c r="AB33" s="98">
        <f>IF((AA13+AA14+AA15+AA17+AA18+AA19+AA20+AA22+AA23+AA24+AA26+AA27+AA29+AA30+AA32)=0,"",(AA13+AA14+AA15+AA17+AA18+AA19+AA20+AA22+AA23+AA24+AA26+AA27+AA29+AA30+AA32)/$I$7*100-100)</f>
        <v>201.84201463975023</v>
      </c>
      <c r="AC33" s="98">
        <f>SUM(AC32:AC32)</f>
        <v>0</v>
      </c>
      <c r="AD33" s="98">
        <f>SUM(AD32:AD32)</f>
        <v>0</v>
      </c>
      <c r="AE33" s="96" t="str">
        <f>IF(ABS(SUM(E32:E32)-100)&lt;0.0001,"ОК","ПОМИЛКА: сума часток = "&amp;ROUND(SUM(E32:E32),2)&amp;"%")</f>
        <v>ОК</v>
      </c>
      <c r="AF33" s="87"/>
      <c r="AG33" s="87"/>
      <c r="AH33" s="87"/>
    </row>
    <row r="34" spans="1:34" ht="32.1" customHeight="1" x14ac:dyDescent="0.2">
      <c r="A34" s="99" t="s">
        <v>85</v>
      </c>
      <c r="B34" s="100" t="s">
        <v>312</v>
      </c>
      <c r="C34" s="100" t="s">
        <v>85</v>
      </c>
      <c r="D34" s="100" t="s">
        <v>85</v>
      </c>
      <c r="E34" s="101"/>
      <c r="F34" s="101">
        <f>F13+F14+F15+F17+F18+F19+F20+F22+F23+F24+F26+F27+F29+F30+F32</f>
        <v>14573.432393730462</v>
      </c>
      <c r="G34" s="101"/>
      <c r="H34" s="101">
        <f>H13+H14+H15+H17+H18+H19+H20+H22+H23+H24+H26+H27+H29+H30+H32</f>
        <v>399.99999999959999</v>
      </c>
      <c r="I34" s="101">
        <f>I13+I14+I15+I17+I18+I19+I20+I22+I23+I24+I26+I27+I29+I30+I32</f>
        <v>200.00000000040001</v>
      </c>
      <c r="J34" s="101">
        <f>J13+J14+J15+J17+J18+J19+J20+J22+J23+J24+J26+J27+J29+J30+J32</f>
        <v>2314.6864787460922</v>
      </c>
      <c r="K34" s="101">
        <f>K13+K14+K15+K17+K18+K19+K20+K22+K23+K24+K26+K27+K29+K30+K32</f>
        <v>2914.6864787460918</v>
      </c>
      <c r="L34" s="101"/>
      <c r="M34" s="101">
        <f>M13+M14+M15+M17+M18+M19+M20+M22+M23+M24+M26+M27+M29+M30+M32</f>
        <v>2878.6825881604818</v>
      </c>
      <c r="N34" s="101"/>
      <c r="O34" s="101">
        <f>O13+O14+O15+O17+O18+O19+O20+O22+O23+O24+O26+O27+O29+O30+O32</f>
        <v>1888.4157778332747</v>
      </c>
      <c r="P34" s="101">
        <f>P13+P14+P15+P17+P18+P19+P20+P22+P23+P24+P26+P27+P29+P30+P32</f>
        <v>19340.530759724214</v>
      </c>
      <c r="Q34" s="101">
        <f>Q13+Q14+Q15+Q17+Q18+Q19+Q20+Q22+Q23+Q24+Q26+Q27+Q29+Q30+Q32</f>
        <v>3602.8485519448441</v>
      </c>
      <c r="R34" s="101">
        <f>R13+R14+R15+R17+R18+R19+R20+R22+R23+R24+R26+R27+R29+R30+R32</f>
        <v>22943.379311669061</v>
      </c>
      <c r="S34" s="101">
        <f>S13+S14+S15+S17+S18+S19+S20+S22+S23+S24+S26+S27+S29+S30+S32</f>
        <v>1888.4157778332747</v>
      </c>
      <c r="T34" s="101"/>
      <c r="U34" s="101">
        <f t="shared" ref="U34:AA34" si="9">U13+U14+U15+U17+U18+U19+U20+U22+U23+U24+U26+U27+U29+U30+U32</f>
        <v>472.10394445831867</v>
      </c>
      <c r="V34" s="101">
        <f t="shared" si="9"/>
        <v>1416.311833374956</v>
      </c>
      <c r="W34" s="101">
        <f t="shared" si="9"/>
        <v>688.16207319875139</v>
      </c>
      <c r="X34" s="101">
        <f t="shared" si="9"/>
        <v>1088.1620731983517</v>
      </c>
      <c r="Y34" s="101">
        <f t="shared" si="9"/>
        <v>1416.311833374956</v>
      </c>
      <c r="Z34" s="101">
        <f t="shared" si="9"/>
        <v>1560.2660176566699</v>
      </c>
      <c r="AA34" s="101">
        <f t="shared" si="9"/>
        <v>9055.260439192507</v>
      </c>
      <c r="AB34" s="101">
        <f>IF($I$7=0,0,AA34/$I$7*100-100)</f>
        <v>201.84201463975023</v>
      </c>
      <c r="AC34" s="101">
        <f>AC13+AC14+AC15+AC17+AC18+AC19+AC20+AC22+AC23+AC24+AC26+AC27+AC29+AC30+AC32</f>
        <v>11573.43239373046</v>
      </c>
      <c r="AD34" s="101">
        <f>AD13+AD14+AD15+AD17+AD18+AD19+AD20+AD22+AD23+AD24+AD26+AD27+AD29+AD30+AD32</f>
        <v>2314.6864787460922</v>
      </c>
      <c r="AE34" s="99" t="str">
        <f>IF(COUNTIF(AE13:AE33,"ПОМИЛКА*")&gt;0,"ПОМИЛКА","ОК")</f>
        <v>ОК</v>
      </c>
      <c r="AF34" s="87"/>
      <c r="AG34" s="87"/>
      <c r="AH34" s="87"/>
    </row>
    <row r="35" spans="1:34" ht="9" customHeight="1" x14ac:dyDescent="0.2">
      <c r="A35" s="87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</row>
    <row r="36" spans="1:34" ht="26.1" customHeight="1" x14ac:dyDescent="0.2">
      <c r="A36" s="162" t="s">
        <v>313</v>
      </c>
      <c r="B36" s="162"/>
      <c r="C36" s="162"/>
      <c r="D36" s="162"/>
      <c r="E36" s="162"/>
      <c r="F36" s="162"/>
      <c r="G36" s="162"/>
      <c r="H36" s="162"/>
      <c r="I36" s="162"/>
      <c r="J36" s="102"/>
      <c r="K36" s="102"/>
      <c r="L36" s="102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</row>
    <row r="37" spans="1:34" ht="32.1" customHeight="1" x14ac:dyDescent="0.2">
      <c r="A37" s="171" t="s">
        <v>258</v>
      </c>
      <c r="B37" s="172"/>
      <c r="C37" s="173"/>
      <c r="D37" s="164" t="s">
        <v>314</v>
      </c>
      <c r="E37" s="164"/>
      <c r="F37" s="164"/>
      <c r="G37" s="164" t="s">
        <v>315</v>
      </c>
      <c r="H37" s="164"/>
      <c r="I37" s="164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</row>
    <row r="38" spans="1:34" ht="23.1" customHeight="1" x14ac:dyDescent="0.2">
      <c r="A38" s="165" t="s">
        <v>316</v>
      </c>
      <c r="B38" s="166"/>
      <c r="C38" s="167"/>
      <c r="D38" s="174">
        <f>C7</f>
        <v>3000</v>
      </c>
      <c r="E38" s="174"/>
      <c r="F38" s="174"/>
      <c r="G38" s="174">
        <v>3000</v>
      </c>
      <c r="H38" s="174"/>
      <c r="I38" s="174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</row>
    <row r="39" spans="1:34" ht="23.1" customHeight="1" x14ac:dyDescent="0.2">
      <c r="A39" s="165" t="s">
        <v>284</v>
      </c>
      <c r="B39" s="166"/>
      <c r="C39" s="167"/>
      <c r="D39" s="174">
        <f>I8</f>
        <v>6</v>
      </c>
      <c r="E39" s="174"/>
      <c r="F39" s="174"/>
      <c r="G39" s="174">
        <v>6</v>
      </c>
      <c r="H39" s="174"/>
      <c r="I39" s="174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</row>
    <row r="40" spans="1:34" ht="23.1" customHeight="1" x14ac:dyDescent="0.2">
      <c r="A40" s="165" t="s">
        <v>317</v>
      </c>
      <c r="B40" s="166"/>
      <c r="C40" s="167"/>
      <c r="D40" s="174">
        <f>C5</f>
        <v>20</v>
      </c>
      <c r="E40" s="174"/>
      <c r="F40" s="174"/>
      <c r="G40" s="174">
        <v>20</v>
      </c>
      <c r="H40" s="174"/>
      <c r="I40" s="174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</row>
    <row r="41" spans="1:34" ht="23.1" customHeight="1" x14ac:dyDescent="0.2">
      <c r="A41" s="165" t="s">
        <v>19</v>
      </c>
      <c r="B41" s="166"/>
      <c r="C41" s="167"/>
      <c r="D41" s="174">
        <f>C6</f>
        <v>25</v>
      </c>
      <c r="E41" s="174"/>
      <c r="F41" s="174"/>
      <c r="G41" s="174">
        <v>25</v>
      </c>
      <c r="H41" s="174"/>
      <c r="I41" s="174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</row>
    <row r="42" spans="1:34" ht="23.1" customHeight="1" x14ac:dyDescent="0.2">
      <c r="A42" s="165" t="s">
        <v>264</v>
      </c>
      <c r="B42" s="166"/>
      <c r="C42" s="167"/>
      <c r="D42" s="174">
        <f>M34</f>
        <v>2878.6825881604818</v>
      </c>
      <c r="E42" s="174"/>
      <c r="F42" s="174"/>
      <c r="G42" s="174">
        <v>2878.68</v>
      </c>
      <c r="H42" s="174"/>
      <c r="I42" s="174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</row>
    <row r="43" spans="1:34" ht="23.1" customHeight="1" x14ac:dyDescent="0.2">
      <c r="A43" s="165" t="s">
        <v>271</v>
      </c>
      <c r="B43" s="166"/>
      <c r="C43" s="167"/>
      <c r="D43" s="174">
        <f>Y34</f>
        <v>1416.311833374956</v>
      </c>
      <c r="E43" s="174"/>
      <c r="F43" s="174"/>
      <c r="G43" s="174">
        <v>1416.31</v>
      </c>
      <c r="H43" s="174"/>
      <c r="I43" s="174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</row>
    <row r="44" spans="1:34" ht="23.1" customHeight="1" x14ac:dyDescent="0.2">
      <c r="A44" s="165" t="s">
        <v>275</v>
      </c>
      <c r="B44" s="166"/>
      <c r="C44" s="167"/>
      <c r="D44" s="174">
        <f>O34</f>
        <v>1888.4157778332747</v>
      </c>
      <c r="E44" s="174"/>
      <c r="F44" s="174"/>
      <c r="G44" s="174">
        <v>1888.42</v>
      </c>
      <c r="H44" s="174"/>
      <c r="I44" s="174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</row>
    <row r="45" spans="1:34" ht="23.1" customHeight="1" x14ac:dyDescent="0.2">
      <c r="A45" s="165" t="s">
        <v>318</v>
      </c>
      <c r="B45" s="166"/>
      <c r="C45" s="167"/>
      <c r="D45" s="174">
        <f>P34</f>
        <v>19340.530759724214</v>
      </c>
      <c r="E45" s="174"/>
      <c r="F45" s="174"/>
      <c r="G45" s="174">
        <v>19340.53</v>
      </c>
      <c r="H45" s="174"/>
      <c r="I45" s="174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</row>
    <row r="46" spans="1:34" ht="23.1" customHeight="1" x14ac:dyDescent="0.2">
      <c r="A46" s="165" t="s">
        <v>319</v>
      </c>
      <c r="B46" s="166"/>
      <c r="C46" s="167"/>
      <c r="D46" s="174">
        <f>R34</f>
        <v>22943.379311669061</v>
      </c>
      <c r="E46" s="174"/>
      <c r="F46" s="174"/>
      <c r="G46" s="174">
        <v>22943.38</v>
      </c>
      <c r="H46" s="174"/>
      <c r="I46" s="174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</row>
    <row r="47" spans="1:34" ht="23.1" customHeight="1" x14ac:dyDescent="0.2">
      <c r="A47" s="165" t="s">
        <v>320</v>
      </c>
      <c r="B47" s="166"/>
      <c r="C47" s="167"/>
      <c r="D47" s="174">
        <f>F34</f>
        <v>14573.432393730462</v>
      </c>
      <c r="E47" s="174"/>
      <c r="F47" s="174"/>
      <c r="G47" s="174">
        <v>14573.43</v>
      </c>
      <c r="H47" s="174"/>
      <c r="I47" s="174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</row>
    <row r="48" spans="1:34" ht="23.1" customHeight="1" x14ac:dyDescent="0.2">
      <c r="A48" s="165" t="s">
        <v>60</v>
      </c>
      <c r="B48" s="166"/>
      <c r="C48" s="167"/>
      <c r="D48" s="174">
        <f>U34</f>
        <v>472.10394445831867</v>
      </c>
      <c r="E48" s="174"/>
      <c r="F48" s="174"/>
      <c r="G48" s="174">
        <v>472.1</v>
      </c>
      <c r="H48" s="174"/>
      <c r="I48" s="174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</row>
    <row r="49" spans="1:34" ht="23.1" customHeight="1" x14ac:dyDescent="0.2">
      <c r="A49" s="165" t="s">
        <v>62</v>
      </c>
      <c r="B49" s="166"/>
      <c r="C49" s="167"/>
      <c r="D49" s="174">
        <f>W34</f>
        <v>688.16207319875139</v>
      </c>
      <c r="E49" s="174"/>
      <c r="F49" s="174"/>
      <c r="G49" s="174">
        <v>688.16</v>
      </c>
      <c r="H49" s="174"/>
      <c r="I49" s="174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</row>
    <row r="50" spans="1:34" ht="23.1" customHeight="1" x14ac:dyDescent="0.2">
      <c r="A50" s="165" t="s">
        <v>281</v>
      </c>
      <c r="B50" s="166"/>
      <c r="C50" s="167"/>
      <c r="D50" s="174">
        <f>X34</f>
        <v>1088.1620731983517</v>
      </c>
      <c r="E50" s="174"/>
      <c r="F50" s="174"/>
      <c r="G50" s="174">
        <v>1088.1600000000001</v>
      </c>
      <c r="H50" s="174"/>
      <c r="I50" s="174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</row>
    <row r="51" spans="1:34" ht="23.1" customHeight="1" x14ac:dyDescent="0.2">
      <c r="A51" s="165" t="s">
        <v>286</v>
      </c>
      <c r="B51" s="166"/>
      <c r="C51" s="167"/>
      <c r="D51" s="174">
        <f>Z34</f>
        <v>1560.2660176566699</v>
      </c>
      <c r="E51" s="174"/>
      <c r="F51" s="174"/>
      <c r="G51" s="174">
        <v>1560.27</v>
      </c>
      <c r="H51" s="174"/>
      <c r="I51" s="174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</row>
    <row r="52" spans="1:34" ht="21" customHeight="1" x14ac:dyDescent="0.2">
      <c r="A52" s="87"/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87"/>
      <c r="AH52" s="87"/>
    </row>
    <row r="53" spans="1:34" ht="27.95" customHeight="1" x14ac:dyDescent="0.2">
      <c r="A53" s="168"/>
      <c r="B53" s="168"/>
      <c r="C53" s="168"/>
      <c r="D53" s="168"/>
      <c r="E53" s="168"/>
      <c r="F53" s="168"/>
      <c r="G53" s="168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</row>
    <row r="54" spans="1:34" ht="21" customHeight="1" x14ac:dyDescent="0.2">
      <c r="A54" s="87"/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</row>
    <row r="55" spans="1:34" ht="21" customHeight="1" x14ac:dyDescent="0.2">
      <c r="A55" s="87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</row>
    <row r="56" spans="1:34" ht="21" customHeight="1" x14ac:dyDescent="0.2">
      <c r="A56" s="87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</row>
  </sheetData>
  <sheetProtection algorithmName="SHA-512" hashValue="+pVej4fccOLMtsHcjRtTCv+pVFeI8KU5KmInNYcGkgtIwX7PzjLDVU1sFKYpBzKppHuTMShELO2wB84wZ0RoRA==" saltValue="eLXEklRlzQaivsFafInz8g==" spinCount="100000" sheet="1" objects="1" scenarios="1"/>
  <mergeCells count="95">
    <mergeCell ref="T4:U4"/>
    <mergeCell ref="T6:U6"/>
    <mergeCell ref="T8:U8"/>
    <mergeCell ref="A1:U1"/>
    <mergeCell ref="A2:U2"/>
    <mergeCell ref="A53:R53"/>
    <mergeCell ref="A3:B3"/>
    <mergeCell ref="A4:B4"/>
    <mergeCell ref="A5:B5"/>
    <mergeCell ref="A6:B6"/>
    <mergeCell ref="A7:B7"/>
    <mergeCell ref="A8:B8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D51:F51"/>
    <mergeCell ref="G51:I51"/>
    <mergeCell ref="A51:C51"/>
    <mergeCell ref="D50:F50"/>
    <mergeCell ref="G50:I50"/>
    <mergeCell ref="A50:C50"/>
    <mergeCell ref="D49:F49"/>
    <mergeCell ref="G49:I49"/>
    <mergeCell ref="A49:C49"/>
    <mergeCell ref="D48:F48"/>
    <mergeCell ref="G48:I48"/>
    <mergeCell ref="A48:C48"/>
    <mergeCell ref="D47:F47"/>
    <mergeCell ref="G47:I47"/>
    <mergeCell ref="A47:C47"/>
    <mergeCell ref="D46:F46"/>
    <mergeCell ref="G46:I46"/>
    <mergeCell ref="A46:C46"/>
    <mergeCell ref="D45:F45"/>
    <mergeCell ref="G45:I45"/>
    <mergeCell ref="D44:F44"/>
    <mergeCell ref="G44:I44"/>
    <mergeCell ref="D43:F43"/>
    <mergeCell ref="G43:I43"/>
    <mergeCell ref="D42:F42"/>
    <mergeCell ref="G42:I42"/>
    <mergeCell ref="D41:F41"/>
    <mergeCell ref="G41:I41"/>
    <mergeCell ref="D40:F40"/>
    <mergeCell ref="G40:I40"/>
    <mergeCell ref="D39:F39"/>
    <mergeCell ref="G39:I39"/>
    <mergeCell ref="D38:F38"/>
    <mergeCell ref="G38:I38"/>
    <mergeCell ref="D37:F37"/>
    <mergeCell ref="G37:I37"/>
    <mergeCell ref="A36:I36"/>
    <mergeCell ref="P8:Q8"/>
    <mergeCell ref="R8:S8"/>
    <mergeCell ref="D8:E8"/>
    <mergeCell ref="F8:H8"/>
    <mergeCell ref="J8:K8"/>
    <mergeCell ref="L8:O8"/>
    <mergeCell ref="P6:Q6"/>
    <mergeCell ref="R6:S6"/>
    <mergeCell ref="D7:E7"/>
    <mergeCell ref="F7:H7"/>
    <mergeCell ref="J7:K7"/>
    <mergeCell ref="L7:O7"/>
    <mergeCell ref="P7:Q7"/>
    <mergeCell ref="R7:S7"/>
    <mergeCell ref="D6:E6"/>
    <mergeCell ref="F6:H6"/>
    <mergeCell ref="J6:K6"/>
    <mergeCell ref="L6:O6"/>
    <mergeCell ref="P4:Q4"/>
    <mergeCell ref="R4:S4"/>
    <mergeCell ref="D5:E5"/>
    <mergeCell ref="F5:H5"/>
    <mergeCell ref="J5:K5"/>
    <mergeCell ref="L5:O5"/>
    <mergeCell ref="P5:Q5"/>
    <mergeCell ref="R5:S5"/>
    <mergeCell ref="D4:E4"/>
    <mergeCell ref="F4:H4"/>
    <mergeCell ref="J4:K4"/>
    <mergeCell ref="L4:O4"/>
    <mergeCell ref="D3:E3"/>
    <mergeCell ref="F3:H3"/>
    <mergeCell ref="J3:K3"/>
    <mergeCell ref="L3:O3"/>
    <mergeCell ref="P3:Q3"/>
    <mergeCell ref="R3:S3"/>
    <mergeCell ref="T3:U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4"/>
  <sheetViews>
    <sheetView showGridLines="0" tabSelected="1" workbookViewId="0">
      <pane ySplit="2" topLeftCell="A3" activePane="bottomLeft" state="frozen"/>
      <selection pane="bottomLeft" activeCell="C7" sqref="C7"/>
    </sheetView>
  </sheetViews>
  <sheetFormatPr defaultRowHeight="12.75" x14ac:dyDescent="0.2"/>
  <cols>
    <col min="1" max="1" width="8" customWidth="1"/>
    <col min="2" max="2" width="74" customWidth="1"/>
    <col min="3" max="3" width="86" customWidth="1"/>
  </cols>
  <sheetData>
    <row r="1" spans="1:3" ht="30" customHeight="1" x14ac:dyDescent="0.2">
      <c r="A1" s="118" t="s">
        <v>354</v>
      </c>
      <c r="B1" s="118"/>
      <c r="C1" s="118"/>
    </row>
    <row r="2" spans="1:3" ht="27" customHeight="1" x14ac:dyDescent="0.2">
      <c r="A2" s="109" t="s">
        <v>355</v>
      </c>
      <c r="B2" s="109" t="s">
        <v>356</v>
      </c>
      <c r="C2" s="109" t="s">
        <v>357</v>
      </c>
    </row>
    <row r="3" spans="1:3" ht="47.1" customHeight="1" x14ac:dyDescent="0.2">
      <c r="A3" s="110" t="s">
        <v>358</v>
      </c>
      <c r="B3" s="111" t="s">
        <v>359</v>
      </c>
      <c r="C3" s="112" t="s">
        <v>360</v>
      </c>
    </row>
    <row r="4" spans="1:3" ht="63.95" customHeight="1" x14ac:dyDescent="0.2">
      <c r="A4" s="113" t="s">
        <v>361</v>
      </c>
      <c r="B4" s="114" t="s">
        <v>362</v>
      </c>
      <c r="C4" s="115" t="s">
        <v>363</v>
      </c>
    </row>
    <row r="5" spans="1:3" ht="47.1" customHeight="1" x14ac:dyDescent="0.2">
      <c r="A5" s="110" t="s">
        <v>364</v>
      </c>
      <c r="B5" s="111" t="s">
        <v>365</v>
      </c>
      <c r="C5" s="112" t="s">
        <v>366</v>
      </c>
    </row>
    <row r="6" spans="1:3" ht="47.1" customHeight="1" x14ac:dyDescent="0.2">
      <c r="A6" s="113" t="s">
        <v>367</v>
      </c>
      <c r="B6" s="114" t="s">
        <v>368</v>
      </c>
      <c r="C6" s="115" t="s">
        <v>369</v>
      </c>
    </row>
    <row r="7" spans="1:3" ht="47.1" customHeight="1" x14ac:dyDescent="0.2">
      <c r="A7" s="110" t="s">
        <v>370</v>
      </c>
      <c r="B7" s="111" t="s">
        <v>371</v>
      </c>
      <c r="C7" s="112" t="s">
        <v>372</v>
      </c>
    </row>
    <row r="8" spans="1:3" ht="47.1" customHeight="1" x14ac:dyDescent="0.2">
      <c r="A8" s="113" t="s">
        <v>373</v>
      </c>
      <c r="B8" s="114" t="s">
        <v>374</v>
      </c>
      <c r="C8" s="115" t="s">
        <v>375</v>
      </c>
    </row>
    <row r="9" spans="1:3" ht="47.1" customHeight="1" x14ac:dyDescent="0.2">
      <c r="A9" s="110" t="s">
        <v>376</v>
      </c>
      <c r="B9" s="111" t="s">
        <v>377</v>
      </c>
      <c r="C9" s="112" t="s">
        <v>378</v>
      </c>
    </row>
    <row r="10" spans="1:3" ht="47.1" customHeight="1" x14ac:dyDescent="0.2">
      <c r="A10" s="113" t="s">
        <v>379</v>
      </c>
      <c r="B10" s="114" t="s">
        <v>380</v>
      </c>
      <c r="C10" s="115" t="s">
        <v>381</v>
      </c>
    </row>
    <row r="11" spans="1:3" ht="47.1" customHeight="1" x14ac:dyDescent="0.2">
      <c r="A11" s="110" t="s">
        <v>382</v>
      </c>
      <c r="B11" s="111" t="s">
        <v>383</v>
      </c>
      <c r="C11" s="112" t="s">
        <v>384</v>
      </c>
    </row>
    <row r="12" spans="1:3" ht="47.1" customHeight="1" x14ac:dyDescent="0.2">
      <c r="A12" s="113" t="s">
        <v>385</v>
      </c>
      <c r="B12" s="114" t="s">
        <v>386</v>
      </c>
      <c r="C12" s="115" t="s">
        <v>387</v>
      </c>
    </row>
    <row r="13" spans="1:3" ht="47.1" customHeight="1" x14ac:dyDescent="0.2">
      <c r="A13" s="110" t="s">
        <v>388</v>
      </c>
      <c r="B13" s="111" t="s">
        <v>389</v>
      </c>
      <c r="C13" s="112" t="s">
        <v>390</v>
      </c>
    </row>
    <row r="14" spans="1:3" ht="47.1" customHeight="1" x14ac:dyDescent="0.2">
      <c r="A14" s="113" t="s">
        <v>391</v>
      </c>
      <c r="B14" s="114" t="s">
        <v>392</v>
      </c>
      <c r="C14" s="115" t="s">
        <v>393</v>
      </c>
    </row>
  </sheetData>
  <sheetProtection algorithmName="SHA-512" hashValue="q4TVUbODqp71PNjD2k1AF7+dug0C6tvnxtbk/VUc2GbEeN+06YU/5/DqBdpDx+XBpAoQszIpLIZZtmRu7WD5EQ==" saltValue="p3A+MtsQ5tYJZvO6+zOm8w==" spinCount="100000" sheet="1" objects="1" scenarios="1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Реєстр моделей</vt:lpstr>
      <vt:lpstr>Модель 1-1</vt:lpstr>
      <vt:lpstr>Модель 2-1</vt:lpstr>
      <vt:lpstr>Модель 2-2</vt:lpstr>
      <vt:lpstr>Модель 3-1</vt:lpstr>
      <vt:lpstr>Модель 2-3</vt:lpstr>
      <vt:lpstr>Модель 0-0</vt:lpstr>
      <vt:lpstr>Модель 0-1</vt:lpstr>
      <vt:lpstr>Модель 1-0</vt:lpstr>
      <vt:lpstr>Модель 1-10</vt:lpstr>
      <vt:lpstr>джерела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 Pascal</dc:creator>
  <cp:lastModifiedBy>Bog Pascal</cp:lastModifiedBy>
  <dcterms:created xsi:type="dcterms:W3CDTF">2026-09-10T16:39:34Z</dcterms:created>
  <dcterms:modified xsi:type="dcterms:W3CDTF">2026-09-12T14:23:08Z</dcterms:modified>
</cp:coreProperties>
</file>